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9060" windowHeight="5340" firstSheet="1" activeTab="2"/>
  </bookViews>
  <sheets>
    <sheet name="Bang bieu 2(DU TOAN CHI)" sheetId="1" r:id="rId1"/>
    <sheet name="Bang bieu 4(Bo sung cho NS " sheetId="2" r:id="rId2"/>
    <sheet name="Bang bieu 1(DU TOAN THU)" sheetId="3" r:id="rId3"/>
  </sheets>
  <externalReferences>
    <externalReference r:id="rId6"/>
    <externalReference r:id="rId7"/>
  </externalReferences>
  <definedNames>
    <definedName name="_Fill" hidden="1">#REF!</definedName>
    <definedName name="_xlnm.Print_Titles" localSheetId="2">'Bang bieu 1(DU TOAN THU)'!$7:$10</definedName>
    <definedName name="_xlnm.Print_Titles" localSheetId="0">'Bang bieu 2(DU TOAN CHI)'!$5:$9</definedName>
  </definedNames>
  <calcPr fullCalcOnLoad="1"/>
</workbook>
</file>

<file path=xl/sharedStrings.xml><?xml version="1.0" encoding="utf-8"?>
<sst xmlns="http://schemas.openxmlformats.org/spreadsheetml/2006/main" count="214" uniqueCount="162">
  <si>
    <t>TỈNH BÌNH PHƯỚC</t>
  </si>
  <si>
    <t>Đơn vị tính: triệu đồng.</t>
  </si>
  <si>
    <t>Nội dung</t>
  </si>
  <si>
    <t>Trong đó</t>
  </si>
  <si>
    <t>Khối tỉnh</t>
  </si>
  <si>
    <t>Khối huyện</t>
  </si>
  <si>
    <t>Đồng Xoài</t>
  </si>
  <si>
    <t>Đồng Phú</t>
  </si>
  <si>
    <t>Phước Long</t>
  </si>
  <si>
    <t>Lộc Ninh</t>
  </si>
  <si>
    <t>Bù Đốp</t>
  </si>
  <si>
    <t>Bù Đăng</t>
  </si>
  <si>
    <t>Bình Long</t>
  </si>
  <si>
    <t>Chơn Thành</t>
  </si>
  <si>
    <t>2=3+4</t>
  </si>
  <si>
    <t>4=5-&gt;12</t>
  </si>
  <si>
    <t>Tổng thu NSNN trên địa bàn</t>
  </si>
  <si>
    <t>A. Tổng các khoản thu cân đối NSNN</t>
  </si>
  <si>
    <t>I. Thu từ sản xuất kinh doanh trong nước</t>
  </si>
  <si>
    <t xml:space="preserve">1. Thu từ doanh nghiệp Nhà nước Trung ương </t>
  </si>
  <si>
    <t>- Thuế giá trị gia tăng</t>
  </si>
  <si>
    <t>- Thuế thu nhập doanh nghiệp</t>
  </si>
  <si>
    <t>- Thuế TTĐB hàng hoá, dịch vụ trong nước</t>
  </si>
  <si>
    <t>- Thuế tài nguyên</t>
  </si>
  <si>
    <t>- Thuế môn bài</t>
  </si>
  <si>
    <t xml:space="preserve">2. Thu từ doanh nghiệp Nhà nước địa phương </t>
  </si>
  <si>
    <t>3. Thu từ doanh nghiệp có vốn đầu tư nước ngoài</t>
  </si>
  <si>
    <t>- Tiền thuê mặt đất, mặt nước</t>
  </si>
  <si>
    <t>- Thuế chuyển thu nhập ra nước ngoài</t>
  </si>
  <si>
    <t>- Các khoản thu về dầu khí</t>
  </si>
  <si>
    <t>- Các khoản thu khác</t>
  </si>
  <si>
    <t>- Thu khác ngoài quốc doanh</t>
  </si>
  <si>
    <t>5. Lệ phí trước bạ</t>
  </si>
  <si>
    <t>6. Thuế sử dụng đất nông nghiệp</t>
  </si>
  <si>
    <t>7. Thuế nhà đất</t>
  </si>
  <si>
    <t>8. Thuế thu nhập cá nhân</t>
  </si>
  <si>
    <t xml:space="preserve">- Phí và lệ phí Trung ương </t>
  </si>
  <si>
    <t>- Phí và lệ phí địa phương</t>
  </si>
  <si>
    <t>13. Thu sự nghiệp</t>
  </si>
  <si>
    <t>- Thu hoạt động sự nghiệp do Trung ương quản lý</t>
  </si>
  <si>
    <t>- Thu hoạt động sự nghiệp do tỉnh, huyện quản lý</t>
  </si>
  <si>
    <t>- Thu hoạt động sự nghiệp do xã quản lý</t>
  </si>
  <si>
    <t>II. Thuế XK, thuế NK, thuế TTĐB, thuế VAT hàng nhập khẩu do Hải quan thu</t>
  </si>
  <si>
    <t>Tr.đó: + Thuế XK, NK, TTĐB</t>
  </si>
  <si>
    <t xml:space="preserve">           + Thuế VAT hàng nhập khẩu</t>
  </si>
  <si>
    <t>III. Thu viện trợ</t>
  </si>
  <si>
    <t>IV. Thu huy động đầu tư xây dựng cơ sở hạ tầng theo khoản 3 điều 8 Luật ngân sách Nhà nước</t>
  </si>
  <si>
    <t>B. Các khoản thu được để lại chi quản lý qua NSNN</t>
  </si>
  <si>
    <t>Tổng thu NSĐP</t>
  </si>
  <si>
    <t xml:space="preserve"> - Thu ngân sách địa phương được hưởng</t>
  </si>
  <si>
    <t>Tr.đó: + Các khoản thu 100%</t>
  </si>
  <si>
    <t xml:space="preserve">           + Thu phân chia theo tỷ lệ phần trăm (%)</t>
  </si>
  <si>
    <t>- Thu bổ sung từ ngân sách cấp trên</t>
  </si>
  <si>
    <t>Tr.đó: + Bổ sung cân đối</t>
  </si>
  <si>
    <t xml:space="preserve">           + Bổ sung có mục tiêu XDCB</t>
  </si>
  <si>
    <t xml:space="preserve">           + Bổ sung có mục tiêu CTMT</t>
  </si>
  <si>
    <t xml:space="preserve">           + Bổ sung có mục tiêu khác</t>
  </si>
  <si>
    <t>- Thu kết dư</t>
  </si>
  <si>
    <t>- Thu từ Quỹ dự trữ tài chính</t>
  </si>
  <si>
    <t>- Thu từ hỗ trợ của ngân sách tỉnh bạn</t>
  </si>
  <si>
    <t>- Thu từ chuyển nguồn ngân sách năm trước</t>
  </si>
  <si>
    <t>- Thu hồi vốn và thu khác</t>
  </si>
  <si>
    <t>- Các khoản huy động đóng góp</t>
  </si>
  <si>
    <t>A. Chi cân đối NSĐP</t>
  </si>
  <si>
    <t>I. Chi đầu tư phát triển</t>
  </si>
  <si>
    <t>Trong đó:</t>
  </si>
  <si>
    <t>- Chi giáo dục, đào tạo và dạy nghề</t>
  </si>
  <si>
    <t>- Chi khoa học công nghệ</t>
  </si>
  <si>
    <t>1. Chi xây dựng cơ bản tập trung</t>
  </si>
  <si>
    <t>- Theo phân cấp đầu năm</t>
  </si>
  <si>
    <t>- Từ hỗ trợ có mục tiêu của NS cấp trên</t>
  </si>
  <si>
    <t>- Từ nguồn thu tiền sử dụng đất</t>
  </si>
  <si>
    <t>3. Chi đầu tư và hỗ trợ các doanh nghiệp theo chế độ</t>
  </si>
  <si>
    <t>II. Chi thường xuyên</t>
  </si>
  <si>
    <t>1. Chi trợ giá các mặt hàng chính sách</t>
  </si>
  <si>
    <t>2. Chi sự nghiệp kinh tế</t>
  </si>
  <si>
    <t>- Chi sự nghiệp nông-lâm-thuỷ lợi</t>
  </si>
  <si>
    <t>- Chi sự nghiệp giao thông</t>
  </si>
  <si>
    <t>- Chi sự nghiệp kiến thiết thị chính</t>
  </si>
  <si>
    <t>- Chi sự nghiệp khác</t>
  </si>
  <si>
    <t>3. Chi sự nghiệp giáo dục, đào tạo và dạy nghề</t>
  </si>
  <si>
    <t>- Chi sự nghiệp giáo dục</t>
  </si>
  <si>
    <t>- Chi sự nghiệp đào tạo và dạy nghề</t>
  </si>
  <si>
    <t>4. Chi sự nghiệp y tế</t>
  </si>
  <si>
    <t>7. Chi sự nghiệp phát thanh truyền hình</t>
  </si>
  <si>
    <t>9. Chi đảm bảo xã hội</t>
  </si>
  <si>
    <t>10. Chi quản lý hành chính</t>
  </si>
  <si>
    <t>- Chi quản lý Nhà nước</t>
  </si>
  <si>
    <t>- Chi hoạt động của cơ quan Đảng,tổ chức CT-XH</t>
  </si>
  <si>
    <t>11. Chi an ninh quốc phòng địa phương</t>
  </si>
  <si>
    <t>- Chi giữ gìn an ninh và trật tự an toàn XH</t>
  </si>
  <si>
    <t>- Chi quốc phòng địa phương</t>
  </si>
  <si>
    <t>12. Chi khác ngân sách</t>
  </si>
  <si>
    <t>IV. Chi lập hoặc bổ sung quỹ dự trữ tài chính</t>
  </si>
  <si>
    <t xml:space="preserve">V. Chi Chương trình mục tiêu </t>
  </si>
  <si>
    <t>VI. Chi chuyển nguồn ngân sách năm sau</t>
  </si>
  <si>
    <t>VII. Dự phòng</t>
  </si>
  <si>
    <t>VIII. Nguồn chi chế độ lương mới</t>
  </si>
  <si>
    <t>B. Các khoản chi được quản lý qua NSNN</t>
  </si>
  <si>
    <t>Tổng chi NSĐP</t>
  </si>
  <si>
    <t xml:space="preserve"> Trong đó: Chi SN môi trường</t>
  </si>
  <si>
    <t>5. Chi sự nghiệp khoa học và công nghệ</t>
  </si>
  <si>
    <t>B. Các khoản thu quản lý qua NSNN</t>
  </si>
  <si>
    <t>- Từ nguồn chuyển nguồn ngân sách năm trước</t>
  </si>
  <si>
    <t>- Từ nguồn hỗ trợ của tỉnh Bình Dương</t>
  </si>
  <si>
    <t>TOÀN TỈNH</t>
  </si>
  <si>
    <t>10. Thu phí xăng, dầu</t>
  </si>
  <si>
    <t>11. Thu phí và lệ phí</t>
  </si>
  <si>
    <t>16. Thu tiền bán nhà ở thuộc sở hữu Nhà nước</t>
  </si>
  <si>
    <t>17. Thu từ hoa lợi công sản của ngân sách xã</t>
  </si>
  <si>
    <t>- Thu từ sổ số kiến thiết</t>
  </si>
  <si>
    <t>- Học phí</t>
  </si>
  <si>
    <t>- Viện phí</t>
  </si>
  <si>
    <t>- Thu phí lệ phí</t>
  </si>
  <si>
    <t>- Thu khác</t>
  </si>
  <si>
    <t>12. Thuế chuyển quyền sử dụng đất</t>
  </si>
  <si>
    <t>Dự toán năm 2008</t>
  </si>
  <si>
    <t>DTĐC năm 2008</t>
  </si>
  <si>
    <t>DỰ TOÁN ĐIỀU CHỈNH CHI NGÂN SÁCH ĐỊA PHƯƠNG NĂM 2008</t>
  </si>
  <si>
    <t>- Chi hoạt động của hội, đoàn thể</t>
  </si>
  <si>
    <t>- Ghi chú: Dự toán trên chưa bao gồm chi từ nguồn kết dư của NS huyện, xã. Mới chỉ tính số dư dự toán vốn XDCB phân cấp cho huyện nhưng cuối năm 2007 chưa chuyển đủ cho các huyện, thị là 14.598 triệu đồng.</t>
  </si>
  <si>
    <t>- Chi hỗ trợ các tổ chức xã hội</t>
  </si>
  <si>
    <t>DỰ TOÁN ĐIỀU CHỈNH THU NGÂN SÁCH NHÀ NƯỚC NĂM 2008</t>
  </si>
  <si>
    <t>13. Tiền sử dụng đất</t>
  </si>
  <si>
    <t>14. Thu tiền cho thuê mặt đất, mặt nước</t>
  </si>
  <si>
    <t xml:space="preserve">15. Thu khác </t>
  </si>
  <si>
    <t>6. Chi sự nghiệp văn hoá Du lịch Thể thao</t>
  </si>
  <si>
    <t xml:space="preserve"> + Trong đó chi tăng lưong theo NĐ166/2007 SNGD-ĐT</t>
  </si>
  <si>
    <t>Dự toán Đầu năm</t>
  </si>
  <si>
    <t>3=4+5</t>
  </si>
  <si>
    <t>5=6-&gt;13</t>
  </si>
  <si>
    <t xml:space="preserve"> + Bổ sung từ nguồn làm luơng đầu năm</t>
  </si>
  <si>
    <t>- Thu huy động đầu tư xây dựng cơ sở hạ tầng theo khoản 3 điều 8 Luật NSNN</t>
  </si>
  <si>
    <t>(Kèm theo Nghị quyết số 9/2008/NQ-HĐND ngày 29/7/2008 của HĐND tỉnh)</t>
  </si>
  <si>
    <t>Đơn vị tính: Triệu đồng.</t>
  </si>
  <si>
    <t>- Thuế TTĐB hàng hóa dịch vụ trong nước</t>
  </si>
  <si>
    <t>4. Thu từ khu vực công thg nghiệp - ngoài quốc doanh</t>
  </si>
  <si>
    <t>- Thuế TTĐB hàng hóa, dịch vụ trong nước</t>
  </si>
  <si>
    <t>a) Vốn trong nước</t>
  </si>
  <si>
    <t>b) Vốn ngoài nước</t>
  </si>
  <si>
    <t>2. Chi đầu tư XD CSHT bằng nguồn vốn huy động đầu tư theo Khoản 3 Điều 8 Luật NSNN</t>
  </si>
  <si>
    <t>III. Chi trả nợ gốc và lãi vay đầu tư XD CSHT theo Khoản 3 Điều 8 Luật NSNN</t>
  </si>
  <si>
    <t>SỐ BỔ SUNG TỪ NGÂN SÁCH CẤP TỈNH</t>
  </si>
  <si>
    <t>CHO NGÂN SÁCH CÁC HUYỆN, THỊ THUỘC TỈNH</t>
  </si>
  <si>
    <t>NĂM 2008</t>
  </si>
  <si>
    <t>STT</t>
  </si>
  <si>
    <t>Huyện thị thuộc tỉnh</t>
  </si>
  <si>
    <t>Tổng số</t>
  </si>
  <si>
    <t>Bổ sung cân đối</t>
  </si>
  <si>
    <t>Bổ sung có mục tiêu</t>
  </si>
  <si>
    <t>XDCB</t>
  </si>
  <si>
    <t>CTMT</t>
  </si>
  <si>
    <t>Khác</t>
  </si>
  <si>
    <t>3=4+5+6+7</t>
  </si>
  <si>
    <t>Thị xã Đồng Xoài</t>
  </si>
  <si>
    <t>Huyện Đồng Phú</t>
  </si>
  <si>
    <t>Huyện Phước Long</t>
  </si>
  <si>
    <t>Huyện Lộc Ninh</t>
  </si>
  <si>
    <t>Huyện Bù Đốp</t>
  </si>
  <si>
    <t>Huyện Bù Đăng</t>
  </si>
  <si>
    <t>Huyện Bình Long</t>
  </si>
  <si>
    <t>Huyện Chơn Thành</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</si>
</sst>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quot;_-;\-* #,##0\ &quot;€&quot;_-;_-* &quot;-&quot;\ &quot;€&quot;_-;_-@_-"/>
    <numFmt numFmtId="173" formatCode="_-* #,##0\ _€_-;\-* #,##0\ _€_-;_-* &quot;-&quot;\ _€_-;_-@_-"/>
    <numFmt numFmtId="174" formatCode="_-* #,##0.00\ &quot;€&quot;_-;\-* #,##0.00\ &quot;€&quot;_-;_-* &quot;-&quot;??\ &quot;€&quot;_-;_-@_-"/>
    <numFmt numFmtId="175" formatCode="_-* #,##0.00\ _€_-;\-* #,##0.00\ _€_-;_-* &quot;-&quot;??\ _€_-;_-@_-"/>
    <numFmt numFmtId="176" formatCode="&quot;\&quot;#,##0;[Red]&quot;\&quot;\-#,##0"/>
    <numFmt numFmtId="177" formatCode="&quot;\&quot;#,##0.00;[Red]&quot;\&quot;\-#,##0.00"/>
    <numFmt numFmtId="178" formatCode="\$#,##0\ ;\(\$#,##0\)"/>
    <numFmt numFmtId="179" formatCode="&quot;\&quot;#,##0;[Red]&quot;\&quot;&quot;\&quot;\-#,##0"/>
    <numFmt numFmtId="180" formatCode="&quot;\&quot;#,##0.00;[Red]&quot;\&quot;&quot;\&quot;&quot;\&quot;&quot;\&quot;&quot;\&quot;&quot;\&quot;\-#,##0.00"/>
    <numFmt numFmtId="181" formatCode="_(* #,##0_);_(* \(#,##0\);_(* &quot;-&quot;??_);_(@_)"/>
    <numFmt numFmtId="182" formatCode="[$-42A]dd\ mmmm\ yyyy"/>
    <numFmt numFmtId="183" formatCode="[$-42A]h:mm:ss\ AM/PM"/>
    <numFmt numFmtId="184" formatCode="[&lt;=9999999][$-1000000]###\-####;[$-1000000]\(#\)\ ###\-####"/>
  </numFmts>
  <fonts count="28">
    <font>
      <sz val="10"/>
      <name val="Arial"/>
      <family val="0"/>
    </font>
    <font>
      <b/>
      <sz val="14"/>
      <name val="Times New Roman"/>
      <family val="1"/>
    </font>
    <font>
      <sz val="14"/>
      <name val="Times New Roman"/>
      <family val="1"/>
    </font>
    <font>
      <sz val="12"/>
      <name val="Times New Roman"/>
      <family val="1"/>
    </font>
    <font>
      <i/>
      <sz val="12"/>
      <name val="Times New Roman"/>
      <family val="1"/>
    </font>
    <font>
      <b/>
      <sz val="12"/>
      <name val="Times New Roman"/>
      <family val="1"/>
    </font>
    <font>
      <b/>
      <i/>
      <sz val="12"/>
      <name val="Times New Roman"/>
      <family val="1"/>
    </font>
    <font>
      <sz val="8"/>
      <name val="Arial"/>
      <family val="0"/>
    </font>
    <font>
      <u val="single"/>
      <sz val="14.4"/>
      <color indexed="36"/>
      <name val="VNI-Times"/>
      <family val="0"/>
    </font>
    <font>
      <b/>
      <sz val="18"/>
      <name val="Arial"/>
      <family val="2"/>
    </font>
    <font>
      <b/>
      <sz val="12"/>
      <name val="Arial"/>
      <family val="2"/>
    </font>
    <font>
      <u val="single"/>
      <sz val="14.4"/>
      <color indexed="12"/>
      <name val="VNI-Times"/>
      <family val="0"/>
    </font>
    <font>
      <sz val="14"/>
      <name val="뼻뮝"/>
      <family val="3"/>
    </font>
    <font>
      <sz val="12"/>
      <name val="뼻뮝"/>
      <family val="1"/>
    </font>
    <font>
      <sz val="12"/>
      <name val="바탕체"/>
      <family val="1"/>
    </font>
    <font>
      <sz val="10"/>
      <name val="굴림체"/>
      <family val="3"/>
    </font>
    <font>
      <sz val="8"/>
      <name val="Times New Roman"/>
      <family val="0"/>
    </font>
    <font>
      <b/>
      <i/>
      <sz val="14"/>
      <name val="Times New Roman"/>
      <family val="1"/>
    </font>
    <font>
      <i/>
      <sz val="14"/>
      <name val="Times New Roman"/>
      <family val="1"/>
    </font>
    <font>
      <b/>
      <sz val="13"/>
      <name val="Times New Roman"/>
      <family val="1"/>
    </font>
    <font>
      <sz val="11"/>
      <name val="Times New Roman"/>
      <family val="1"/>
    </font>
    <font>
      <b/>
      <sz val="11"/>
      <name val="Times New Roman"/>
      <family val="1"/>
    </font>
    <font>
      <i/>
      <sz val="11"/>
      <name val="Times New Roman"/>
      <family val="1"/>
    </font>
    <font>
      <sz val="13"/>
      <name val="Times New Roman"/>
      <family val="1"/>
    </font>
    <font>
      <b/>
      <i/>
      <sz val="11"/>
      <name val="Times New Roman"/>
      <family val="1"/>
    </font>
    <font>
      <sz val="12"/>
      <name val="Arial"/>
      <family val="0"/>
    </font>
    <font>
      <b/>
      <sz val="16"/>
      <name val="Times New Roman"/>
      <family val="1"/>
    </font>
    <font>
      <b/>
      <u val="single"/>
      <sz val="14"/>
      <name val="Times New Roman"/>
      <family val="1"/>
    </font>
  </fonts>
  <fills count="2">
    <fill>
      <patternFill/>
    </fill>
    <fill>
      <patternFill patternType="gray125"/>
    </fill>
  </fills>
  <borders count="16">
    <border>
      <left/>
      <right/>
      <top/>
      <bottom/>
      <diagonal/>
    </border>
    <border>
      <left>
        <color indexed="63"/>
      </left>
      <right>
        <color indexed="63"/>
      </right>
      <top style="double"/>
      <bottom>
        <color indexed="63"/>
      </bottom>
    </border>
    <border>
      <left style="thin"/>
      <right style="thin"/>
      <top style="thin"/>
      <bottom style="thin"/>
    </border>
    <border>
      <left style="thin"/>
      <right style="thin"/>
      <top style="hair"/>
      <bottom style="hair"/>
    </border>
    <border>
      <left style="thin"/>
      <right style="thin"/>
      <top style="dotted"/>
      <bottom style="dotted"/>
    </border>
    <border>
      <left style="thin"/>
      <right style="thin"/>
      <top>
        <color indexed="63"/>
      </top>
      <bottom>
        <color indexed="63"/>
      </bottom>
    </border>
    <border>
      <left style="thin"/>
      <right style="thin"/>
      <top>
        <color indexed="63"/>
      </top>
      <bottom style="hair"/>
    </border>
    <border>
      <left style="thin"/>
      <right style="thin"/>
      <top style="hair"/>
      <bottom style="thin"/>
    </border>
    <border>
      <left style="thin"/>
      <right style="thin"/>
      <top style="thin"/>
      <bottom style="dotted"/>
    </border>
    <border>
      <left style="thin"/>
      <right style="thin"/>
      <top style="dotted"/>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43" fontId="3" fillId="0" borderId="0" applyFont="0" applyFill="0" applyBorder="0" applyAlignment="0" applyProtection="0"/>
    <xf numFmtId="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178"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 fillId="0" borderId="0">
      <alignment/>
      <protection/>
    </xf>
    <xf numFmtId="0" fontId="3" fillId="0" borderId="0">
      <alignment/>
      <protection/>
    </xf>
    <xf numFmtId="9" fontId="0" fillId="0" borderId="0" applyFont="0" applyFill="0" applyBorder="0" applyAlignment="0" applyProtection="0"/>
    <xf numFmtId="0" fontId="0" fillId="0" borderId="1" applyNumberFormat="0" applyFont="0" applyFill="0" applyAlignment="0" applyProtection="0"/>
    <xf numFmtId="40" fontId="12" fillId="0" borderId="0" applyFont="0" applyFill="0" applyBorder="0" applyAlignment="0" applyProtection="0"/>
    <xf numFmtId="38"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0" fontId="0" fillId="0" borderId="0" applyFont="0" applyFill="0" applyBorder="0" applyAlignment="0" applyProtection="0"/>
    <xf numFmtId="0" fontId="13" fillId="0" borderId="0">
      <alignment/>
      <protection/>
    </xf>
    <xf numFmtId="179" fontId="0" fillId="0" borderId="0" applyFont="0" applyFill="0" applyBorder="0" applyAlignment="0" applyProtection="0"/>
    <xf numFmtId="180" fontId="0" fillId="0" borderId="0" applyFont="0" applyFill="0" applyBorder="0" applyAlignment="0" applyProtection="0"/>
    <xf numFmtId="177" fontId="14" fillId="0" borderId="0" applyFont="0" applyFill="0" applyBorder="0" applyAlignment="0" applyProtection="0"/>
    <xf numFmtId="176" fontId="14" fillId="0" borderId="0" applyFont="0" applyFill="0" applyBorder="0" applyAlignment="0" applyProtection="0"/>
    <xf numFmtId="0" fontId="15" fillId="0" borderId="0">
      <alignment/>
      <protection/>
    </xf>
  </cellStyleXfs>
  <cellXfs count="158">
    <xf numFmtId="0" fontId="0" fillId="0" borderId="0" xfId="0" applyAlignment="1">
      <alignment/>
    </xf>
    <xf numFmtId="3" fontId="3" fillId="0" borderId="0" xfId="0" applyNumberFormat="1" applyFont="1" applyAlignment="1">
      <alignment vertical="top" wrapText="1"/>
    </xf>
    <xf numFmtId="3" fontId="4" fillId="0" borderId="0" xfId="0" applyNumberFormat="1" applyFont="1" applyAlignment="1">
      <alignment horizontal="right" vertical="top"/>
    </xf>
    <xf numFmtId="3" fontId="5" fillId="0" borderId="2" xfId="0" applyNumberFormat="1" applyFont="1" applyBorder="1" applyAlignment="1">
      <alignment horizontal="center" vertical="top" wrapText="1"/>
    </xf>
    <xf numFmtId="3" fontId="5" fillId="0" borderId="0" xfId="0" applyNumberFormat="1" applyFont="1" applyAlignment="1">
      <alignment wrapText="1"/>
    </xf>
    <xf numFmtId="3" fontId="5" fillId="0" borderId="0" xfId="0" applyNumberFormat="1" applyFont="1" applyAlignment="1">
      <alignment vertical="top" wrapText="1"/>
    </xf>
    <xf numFmtId="3" fontId="4" fillId="0" borderId="3" xfId="0" applyNumberFormat="1" applyFont="1" applyBorder="1" applyAlignment="1">
      <alignment vertical="top" wrapText="1"/>
    </xf>
    <xf numFmtId="3" fontId="4" fillId="0" borderId="0" xfId="0" applyNumberFormat="1" applyFont="1" applyAlignment="1">
      <alignment vertical="top" wrapText="1"/>
    </xf>
    <xf numFmtId="3" fontId="1" fillId="0" borderId="0" xfId="29" applyNumberFormat="1" applyFont="1" applyAlignment="1">
      <alignment vertical="top" wrapText="1"/>
      <protection/>
    </xf>
    <xf numFmtId="3" fontId="5" fillId="0" borderId="2" xfId="29" applyNumberFormat="1" applyFont="1" applyBorder="1" applyAlignment="1">
      <alignment horizontal="center" vertical="top" wrapText="1"/>
      <protection/>
    </xf>
    <xf numFmtId="3" fontId="5" fillId="0" borderId="0" xfId="29" applyNumberFormat="1" applyFont="1" applyAlignment="1">
      <alignment vertical="top" wrapText="1"/>
      <protection/>
    </xf>
    <xf numFmtId="3" fontId="3" fillId="0" borderId="0" xfId="29" applyNumberFormat="1" applyFont="1" applyAlignment="1">
      <alignment vertical="top" wrapText="1"/>
      <protection/>
    </xf>
    <xf numFmtId="3" fontId="3" fillId="0" borderId="0" xfId="0" applyNumberFormat="1" applyFont="1" applyAlignment="1">
      <alignment horizontal="center" vertical="top" wrapText="1"/>
    </xf>
    <xf numFmtId="3" fontId="5" fillId="0" borderId="0" xfId="29" applyNumberFormat="1" applyFont="1">
      <alignment/>
      <protection/>
    </xf>
    <xf numFmtId="3" fontId="3" fillId="0" borderId="0" xfId="29" applyNumberFormat="1" applyFont="1" applyAlignment="1">
      <alignment horizontal="center" vertical="top" wrapText="1"/>
      <protection/>
    </xf>
    <xf numFmtId="3" fontId="3" fillId="0" borderId="2" xfId="29" applyNumberFormat="1" applyFont="1" applyBorder="1" applyAlignment="1">
      <alignment horizontal="center" vertical="center" wrapText="1"/>
      <protection/>
    </xf>
    <xf numFmtId="3" fontId="4" fillId="0" borderId="0" xfId="29" applyNumberFormat="1" applyFont="1">
      <alignment/>
      <protection/>
    </xf>
    <xf numFmtId="3" fontId="3" fillId="0" borderId="0" xfId="29" applyNumberFormat="1" applyFont="1">
      <alignment/>
      <protection/>
    </xf>
    <xf numFmtId="3" fontId="6" fillId="0" borderId="0" xfId="29" applyNumberFormat="1" applyFont="1">
      <alignment/>
      <protection/>
    </xf>
    <xf numFmtId="3" fontId="21" fillId="0" borderId="0" xfId="29" applyNumberFormat="1" applyFont="1">
      <alignment/>
      <protection/>
    </xf>
    <xf numFmtId="3" fontId="20" fillId="0" borderId="0" xfId="29" applyNumberFormat="1" applyFont="1">
      <alignment/>
      <protection/>
    </xf>
    <xf numFmtId="3" fontId="22" fillId="0" borderId="0" xfId="29" applyNumberFormat="1" applyFont="1">
      <alignment/>
      <protection/>
    </xf>
    <xf numFmtId="3" fontId="21" fillId="0" borderId="0" xfId="29" applyNumberFormat="1" applyFont="1" applyAlignment="1">
      <alignment vertical="top" wrapText="1"/>
      <protection/>
    </xf>
    <xf numFmtId="3" fontId="22" fillId="0" borderId="0" xfId="29" applyNumberFormat="1" applyFont="1" applyAlignment="1">
      <alignment vertical="top" wrapText="1"/>
      <protection/>
    </xf>
    <xf numFmtId="3" fontId="17" fillId="0" borderId="0" xfId="29" applyNumberFormat="1" applyFont="1" applyAlignment="1">
      <alignment horizontal="center" vertical="top" wrapText="1"/>
      <protection/>
    </xf>
    <xf numFmtId="3" fontId="3" fillId="0" borderId="0" xfId="17" applyNumberFormat="1" applyFont="1" applyAlignment="1">
      <alignment/>
    </xf>
    <xf numFmtId="4" fontId="3" fillId="0" borderId="0" xfId="29" applyNumberFormat="1" applyFont="1">
      <alignment/>
      <protection/>
    </xf>
    <xf numFmtId="3" fontId="18" fillId="0" borderId="0" xfId="29" applyNumberFormat="1" applyFont="1" applyAlignment="1">
      <alignment vertical="top" wrapText="1"/>
      <protection/>
    </xf>
    <xf numFmtId="3" fontId="19" fillId="0" borderId="0" xfId="29" applyNumberFormat="1" applyFont="1" applyAlignment="1">
      <alignment vertical="top" wrapText="1"/>
      <protection/>
    </xf>
    <xf numFmtId="3" fontId="5" fillId="0" borderId="4" xfId="0" applyNumberFormat="1" applyFont="1" applyBorder="1" applyAlignment="1">
      <alignment vertical="top" wrapText="1"/>
    </xf>
    <xf numFmtId="3" fontId="5" fillId="0" borderId="5" xfId="29" applyNumberFormat="1" applyFont="1" applyBorder="1" applyAlignment="1">
      <alignment horizontal="center"/>
      <protection/>
    </xf>
    <xf numFmtId="3" fontId="5" fillId="0" borderId="5" xfId="29" applyNumberFormat="1" applyFont="1" applyBorder="1" applyAlignment="1">
      <alignment horizontal="right"/>
      <protection/>
    </xf>
    <xf numFmtId="3" fontId="5" fillId="0" borderId="6" xfId="0" applyNumberFormat="1" applyFont="1" applyBorder="1" applyAlignment="1">
      <alignment horizontal="center" wrapText="1"/>
    </xf>
    <xf numFmtId="3" fontId="5" fillId="0" borderId="3" xfId="0" applyNumberFormat="1" applyFont="1" applyBorder="1" applyAlignment="1">
      <alignment vertical="top" wrapText="1"/>
    </xf>
    <xf numFmtId="3" fontId="3" fillId="0" borderId="3" xfId="0" applyNumberFormat="1" applyFont="1" applyBorder="1" applyAlignment="1" quotePrefix="1">
      <alignment vertical="top" wrapText="1"/>
    </xf>
    <xf numFmtId="3" fontId="3" fillId="0" borderId="3" xfId="0" applyNumberFormat="1" applyFont="1" applyBorder="1" applyAlignment="1">
      <alignment vertical="top" wrapText="1"/>
    </xf>
    <xf numFmtId="3" fontId="5" fillId="0" borderId="3" xfId="0" applyNumberFormat="1" applyFont="1" applyBorder="1" applyAlignment="1">
      <alignment horizontal="center" vertical="top" wrapText="1"/>
    </xf>
    <xf numFmtId="3" fontId="21" fillId="0" borderId="0" xfId="29" applyNumberFormat="1" applyFont="1">
      <alignment/>
      <protection/>
    </xf>
    <xf numFmtId="3" fontId="20" fillId="0" borderId="0" xfId="29" applyNumberFormat="1" applyFont="1">
      <alignment/>
      <protection/>
    </xf>
    <xf numFmtId="3" fontId="22" fillId="0" borderId="0" xfId="29" applyNumberFormat="1" applyFont="1">
      <alignment/>
      <protection/>
    </xf>
    <xf numFmtId="3" fontId="24" fillId="0" borderId="0" xfId="29" applyNumberFormat="1" applyFont="1">
      <alignment/>
      <protection/>
    </xf>
    <xf numFmtId="4" fontId="24" fillId="0" borderId="0" xfId="29" applyNumberFormat="1" applyFont="1">
      <alignment/>
      <protection/>
    </xf>
    <xf numFmtId="3" fontId="5" fillId="0" borderId="0" xfId="0" applyNumberFormat="1" applyFont="1" applyAlignment="1">
      <alignment vertical="top" wrapText="1"/>
    </xf>
    <xf numFmtId="3" fontId="6" fillId="0" borderId="0" xfId="0" applyNumberFormat="1" applyFont="1" applyAlignment="1">
      <alignment vertical="top" wrapText="1"/>
    </xf>
    <xf numFmtId="3" fontId="5" fillId="0" borderId="6" xfId="0" applyNumberFormat="1" applyFont="1" applyBorder="1" applyAlignment="1">
      <alignment wrapText="1"/>
    </xf>
    <xf numFmtId="3" fontId="5" fillId="0" borderId="3" xfId="0" applyNumberFormat="1" applyFont="1" applyBorder="1" applyAlignment="1">
      <alignment vertical="top" wrapText="1"/>
    </xf>
    <xf numFmtId="3" fontId="3" fillId="0" borderId="3" xfId="0" applyNumberFormat="1" applyFont="1" applyBorder="1" applyAlignment="1">
      <alignment vertical="top" wrapText="1"/>
    </xf>
    <xf numFmtId="3" fontId="5" fillId="0" borderId="4" xfId="0" applyNumberFormat="1" applyFont="1" applyBorder="1" applyAlignment="1">
      <alignment vertical="top" wrapText="1"/>
    </xf>
    <xf numFmtId="3" fontId="3" fillId="0" borderId="7" xfId="0" applyNumberFormat="1" applyFont="1" applyBorder="1" applyAlignment="1">
      <alignment vertical="top" wrapText="1"/>
    </xf>
    <xf numFmtId="3" fontId="5" fillId="0" borderId="8" xfId="29" applyNumberFormat="1" applyFont="1" applyBorder="1" applyAlignment="1">
      <alignment horizontal="right"/>
      <protection/>
    </xf>
    <xf numFmtId="3" fontId="5" fillId="0" borderId="4" xfId="29" applyNumberFormat="1" applyFont="1" applyBorder="1" applyAlignment="1">
      <alignment horizontal="right"/>
      <protection/>
    </xf>
    <xf numFmtId="3" fontId="3" fillId="0" borderId="4" xfId="29" applyNumberFormat="1" applyFont="1" applyBorder="1" applyAlignment="1">
      <alignment horizontal="right"/>
      <protection/>
    </xf>
    <xf numFmtId="3" fontId="3" fillId="0" borderId="4" xfId="29" applyNumberFormat="1" applyFont="1" applyBorder="1" applyAlignment="1">
      <alignment horizontal="right" vertical="top" wrapText="1"/>
      <protection/>
    </xf>
    <xf numFmtId="3" fontId="3" fillId="0" borderId="4" xfId="29" applyNumberFormat="1" applyFont="1" applyBorder="1" applyAlignment="1">
      <alignment horizontal="right" vertical="top"/>
      <protection/>
    </xf>
    <xf numFmtId="3" fontId="20" fillId="0" borderId="4" xfId="29" applyNumberFormat="1" applyFont="1" applyBorder="1" applyAlignment="1">
      <alignment horizontal="right"/>
      <protection/>
    </xf>
    <xf numFmtId="3" fontId="3" fillId="0" borderId="4" xfId="29" applyNumberFormat="1" applyFont="1" applyBorder="1" applyAlignment="1">
      <alignment horizontal="right"/>
      <protection/>
    </xf>
    <xf numFmtId="3" fontId="5" fillId="0" borderId="4" xfId="29" applyNumberFormat="1" applyFont="1" applyBorder="1" applyAlignment="1">
      <alignment horizontal="right" vertical="top" wrapText="1"/>
      <protection/>
    </xf>
    <xf numFmtId="3" fontId="5" fillId="0" borderId="4" xfId="29" applyNumberFormat="1" applyFont="1" applyBorder="1" applyAlignment="1">
      <alignment horizontal="right" vertical="top" wrapText="1"/>
      <protection/>
    </xf>
    <xf numFmtId="3" fontId="5" fillId="0" borderId="4" xfId="29" applyNumberFormat="1" applyFont="1" applyBorder="1" applyAlignment="1">
      <alignment horizontal="right"/>
      <protection/>
    </xf>
    <xf numFmtId="3" fontId="3" fillId="0" borderId="4" xfId="0" applyNumberFormat="1" applyFont="1" applyBorder="1" applyAlignment="1">
      <alignment horizontal="right" vertical="top" wrapText="1"/>
    </xf>
    <xf numFmtId="3" fontId="3" fillId="0" borderId="4" xfId="29" applyNumberFormat="1" applyFont="1" applyBorder="1" applyAlignment="1">
      <alignment horizontal="right" vertical="top" wrapText="1"/>
      <protection/>
    </xf>
    <xf numFmtId="3" fontId="3" fillId="0" borderId="9" xfId="29" applyNumberFormat="1" applyFont="1" applyBorder="1" applyAlignment="1">
      <alignment horizontal="right"/>
      <protection/>
    </xf>
    <xf numFmtId="3" fontId="3" fillId="0" borderId="9" xfId="29" applyNumberFormat="1" applyFont="1" applyBorder="1" applyAlignment="1">
      <alignment horizontal="right"/>
      <protection/>
    </xf>
    <xf numFmtId="3" fontId="5" fillId="0" borderId="8" xfId="29" applyNumberFormat="1" applyFont="1" applyBorder="1" applyAlignment="1">
      <alignment horizontal="left"/>
      <protection/>
    </xf>
    <xf numFmtId="3" fontId="5" fillId="0" borderId="4" xfId="29" applyNumberFormat="1" applyFont="1" applyBorder="1" applyAlignment="1">
      <alignment horizontal="left"/>
      <protection/>
    </xf>
    <xf numFmtId="3" fontId="3" fillId="0" borderId="4" xfId="29" applyNumberFormat="1" applyFont="1" applyBorder="1" applyAlignment="1">
      <alignment horizontal="left"/>
      <protection/>
    </xf>
    <xf numFmtId="3" fontId="3" fillId="0" borderId="4" xfId="29" applyNumberFormat="1" applyFont="1" applyBorder="1" applyAlignment="1">
      <alignment horizontal="left" vertical="top" wrapText="1"/>
      <protection/>
    </xf>
    <xf numFmtId="3" fontId="20" fillId="0" borderId="4" xfId="29" applyNumberFormat="1" applyFont="1" applyBorder="1" applyAlignment="1">
      <alignment horizontal="left"/>
      <protection/>
    </xf>
    <xf numFmtId="3" fontId="20" fillId="0" borderId="4" xfId="29" applyNumberFormat="1" applyFont="1" applyBorder="1" applyAlignment="1">
      <alignment horizontal="left"/>
      <protection/>
    </xf>
    <xf numFmtId="3" fontId="5" fillId="0" borderId="4" xfId="29" applyNumberFormat="1" applyFont="1" applyBorder="1" applyAlignment="1">
      <alignment horizontal="left" vertical="top" wrapText="1"/>
      <protection/>
    </xf>
    <xf numFmtId="3" fontId="5" fillId="0" borderId="3" xfId="28" applyNumberFormat="1" applyFont="1" applyBorder="1" applyAlignment="1">
      <alignment horizontal="left"/>
      <protection/>
    </xf>
    <xf numFmtId="3" fontId="5" fillId="0" borderId="5" xfId="28" applyNumberFormat="1" applyFont="1" applyBorder="1" applyAlignment="1">
      <alignment horizontal="right"/>
      <protection/>
    </xf>
    <xf numFmtId="3" fontId="25" fillId="0" borderId="5" xfId="0" applyNumberFormat="1" applyFont="1" applyBorder="1" applyAlignment="1" quotePrefix="1">
      <alignment horizontal="right" vertical="top" wrapText="1"/>
    </xf>
    <xf numFmtId="3" fontId="25" fillId="0" borderId="10" xfId="0" applyNumberFormat="1" applyFont="1" applyBorder="1" applyAlignment="1" quotePrefix="1">
      <alignment horizontal="right" vertical="top" wrapText="1"/>
    </xf>
    <xf numFmtId="3" fontId="23" fillId="0" borderId="0" xfId="29" applyNumberFormat="1" applyFont="1" applyAlignment="1">
      <alignment vertical="top" wrapText="1"/>
      <protection/>
    </xf>
    <xf numFmtId="3" fontId="0" fillId="0" borderId="0" xfId="0" applyNumberFormat="1" applyFont="1" applyAlignment="1">
      <alignment vertical="top"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vertical="top" wrapText="1"/>
    </xf>
    <xf numFmtId="3" fontId="0" fillId="0" borderId="3" xfId="0" applyNumberFormat="1" applyFont="1" applyBorder="1" applyAlignment="1" quotePrefix="1">
      <alignment vertical="top" wrapText="1"/>
    </xf>
    <xf numFmtId="3" fontId="3" fillId="0" borderId="0" xfId="0" applyNumberFormat="1" applyFont="1" applyAlignment="1">
      <alignment vertical="top" wrapText="1"/>
    </xf>
    <xf numFmtId="3" fontId="0" fillId="0" borderId="3" xfId="0" applyNumberFormat="1" applyFont="1" applyBorder="1" applyAlignment="1">
      <alignment horizontal="left" vertical="top" wrapText="1"/>
    </xf>
    <xf numFmtId="3" fontId="3" fillId="0" borderId="3" xfId="0" applyNumberFormat="1" applyFont="1" applyBorder="1" applyAlignment="1" quotePrefix="1">
      <alignment vertical="top" wrapText="1"/>
    </xf>
    <xf numFmtId="3" fontId="5" fillId="0" borderId="3" xfId="0" applyNumberFormat="1" applyFont="1" applyBorder="1" applyAlignment="1" quotePrefix="1">
      <alignment vertical="top" wrapText="1"/>
    </xf>
    <xf numFmtId="3" fontId="4" fillId="0" borderId="0" xfId="0" applyNumberFormat="1" applyFont="1" applyAlignment="1">
      <alignment vertical="top" wrapText="1"/>
    </xf>
    <xf numFmtId="3" fontId="5" fillId="0" borderId="3" xfId="0" applyNumberFormat="1" applyFont="1" applyBorder="1" applyAlignment="1" quotePrefix="1">
      <alignment vertical="top" wrapText="1"/>
    </xf>
    <xf numFmtId="3" fontId="0" fillId="0" borderId="7" xfId="0" applyNumberFormat="1" applyFont="1" applyBorder="1" applyAlignment="1" quotePrefix="1">
      <alignment vertical="top" wrapText="1"/>
    </xf>
    <xf numFmtId="3" fontId="3" fillId="0" borderId="0" xfId="29" applyNumberFormat="1" applyFont="1" applyAlignment="1">
      <alignment horizontal="right" vertical="top"/>
      <protection/>
    </xf>
    <xf numFmtId="3" fontId="3" fillId="0" borderId="4" xfId="29" applyNumberFormat="1" applyFont="1" applyBorder="1" applyAlignment="1" quotePrefix="1">
      <alignment horizontal="left"/>
      <protection/>
    </xf>
    <xf numFmtId="3" fontId="3" fillId="0" borderId="4" xfId="29" applyNumberFormat="1" applyFont="1" applyBorder="1" applyAlignment="1" quotePrefix="1">
      <alignment horizontal="right"/>
      <protection/>
    </xf>
    <xf numFmtId="3" fontId="20" fillId="0" borderId="4" xfId="29" applyNumberFormat="1" applyFont="1" applyBorder="1" applyAlignment="1" quotePrefix="1">
      <alignment horizontal="left"/>
      <protection/>
    </xf>
    <xf numFmtId="3" fontId="3" fillId="0" borderId="4" xfId="29" applyNumberFormat="1" applyFont="1" applyBorder="1" applyAlignment="1" quotePrefix="1">
      <alignment horizontal="right"/>
      <protection/>
    </xf>
    <xf numFmtId="3" fontId="20" fillId="0" borderId="4" xfId="29" applyNumberFormat="1" applyFont="1" applyBorder="1" applyAlignment="1" quotePrefix="1">
      <alignment horizontal="left"/>
      <protection/>
    </xf>
    <xf numFmtId="3" fontId="20" fillId="0" borderId="4" xfId="29" applyNumberFormat="1" applyFont="1" applyBorder="1" applyAlignment="1" quotePrefix="1">
      <alignment horizontal="left" vertical="top" wrapText="1"/>
      <protection/>
    </xf>
    <xf numFmtId="3" fontId="3" fillId="0" borderId="4" xfId="29" applyNumberFormat="1" applyFont="1" applyBorder="1" applyAlignment="1" quotePrefix="1">
      <alignment horizontal="right" vertical="top" wrapText="1"/>
      <protection/>
    </xf>
    <xf numFmtId="3" fontId="0" fillId="0" borderId="3" xfId="0" applyNumberFormat="1" applyFont="1" applyBorder="1" applyAlignment="1" quotePrefix="1">
      <alignment horizontal="left" vertical="top" wrapText="1"/>
    </xf>
    <xf numFmtId="3" fontId="0" fillId="0" borderId="7" xfId="0" applyNumberFormat="1" applyFont="1" applyBorder="1" applyAlignment="1" quotePrefix="1">
      <alignment horizontal="left" vertical="top" wrapText="1"/>
    </xf>
    <xf numFmtId="3" fontId="26" fillId="0" borderId="0" xfId="29" applyNumberFormat="1" applyFont="1" applyAlignment="1">
      <alignment horizontal="center"/>
      <protection/>
    </xf>
    <xf numFmtId="3" fontId="3" fillId="0" borderId="0" xfId="29" applyNumberFormat="1">
      <alignment/>
      <protection/>
    </xf>
    <xf numFmtId="3" fontId="3" fillId="0" borderId="0" xfId="29" applyNumberFormat="1" applyFont="1" applyAlignment="1">
      <alignment horizontal="center" vertical="top"/>
      <protection/>
    </xf>
    <xf numFmtId="3" fontId="3" fillId="0" borderId="0" xfId="29" applyNumberFormat="1" applyFill="1">
      <alignment/>
      <protection/>
    </xf>
    <xf numFmtId="3" fontId="5" fillId="0" borderId="0" xfId="29" applyNumberFormat="1" applyFont="1" applyAlignment="1">
      <alignment horizontal="center" vertical="center" wrapText="1"/>
      <protection/>
    </xf>
    <xf numFmtId="0" fontId="1" fillId="0" borderId="2" xfId="29" applyFont="1" applyBorder="1" applyAlignment="1">
      <alignment horizontal="center" vertical="center"/>
      <protection/>
    </xf>
    <xf numFmtId="0" fontId="19" fillId="0" borderId="2" xfId="29" applyFont="1" applyBorder="1" applyAlignment="1">
      <alignment horizontal="center" vertical="center"/>
      <protection/>
    </xf>
    <xf numFmtId="0" fontId="1" fillId="0" borderId="2" xfId="29" applyFont="1" applyBorder="1" applyAlignment="1">
      <alignment horizontal="center" vertical="center" wrapText="1"/>
      <protection/>
    </xf>
    <xf numFmtId="3" fontId="1" fillId="0" borderId="0" xfId="29" applyNumberFormat="1" applyFont="1" applyAlignment="1">
      <alignment horizontal="center" vertical="center" wrapText="1"/>
      <protection/>
    </xf>
    <xf numFmtId="3" fontId="27" fillId="0" borderId="0" xfId="29" applyNumberFormat="1" applyFont="1">
      <alignment/>
      <protection/>
    </xf>
    <xf numFmtId="3" fontId="1" fillId="0" borderId="3" xfId="29" applyNumberFormat="1" applyFont="1" applyBorder="1" applyAlignment="1">
      <alignment horizontal="center"/>
      <protection/>
    </xf>
    <xf numFmtId="3" fontId="19" fillId="0" borderId="3" xfId="29" applyNumberFormat="1" applyFont="1" applyFill="1" applyBorder="1">
      <alignment/>
      <protection/>
    </xf>
    <xf numFmtId="3" fontId="23" fillId="0" borderId="3" xfId="29" applyNumberFormat="1" applyFont="1" applyBorder="1">
      <alignment/>
      <protection/>
    </xf>
    <xf numFmtId="3" fontId="2" fillId="0" borderId="0" xfId="29" applyNumberFormat="1" applyFont="1">
      <alignment/>
      <protection/>
    </xf>
    <xf numFmtId="3" fontId="1" fillId="0" borderId="0" xfId="29" applyNumberFormat="1" applyFont="1">
      <alignment/>
      <protection/>
    </xf>
    <xf numFmtId="3" fontId="3" fillId="0" borderId="7" xfId="29" applyNumberFormat="1" applyBorder="1">
      <alignment/>
      <protection/>
    </xf>
    <xf numFmtId="3" fontId="3" fillId="0" borderId="7" xfId="29" applyNumberFormat="1" applyFill="1" applyBorder="1">
      <alignment/>
      <protection/>
    </xf>
    <xf numFmtId="3" fontId="3" fillId="0" borderId="0" xfId="29" applyNumberFormat="1" applyFont="1" applyFill="1">
      <alignment/>
      <protection/>
    </xf>
    <xf numFmtId="3" fontId="3" fillId="0" borderId="0" xfId="29" applyNumberFormat="1" applyFont="1" applyAlignment="1">
      <alignment horizontal="right"/>
      <protection/>
    </xf>
    <xf numFmtId="0" fontId="3" fillId="0" borderId="10" xfId="29" applyFont="1" applyBorder="1" applyAlignment="1">
      <alignment horizontal="center" vertical="center" wrapText="1"/>
      <protection/>
    </xf>
    <xf numFmtId="3" fontId="1" fillId="0" borderId="6" xfId="29" applyNumberFormat="1" applyFont="1" applyBorder="1">
      <alignment/>
      <protection/>
    </xf>
    <xf numFmtId="3" fontId="19" fillId="0" borderId="6" xfId="29" applyNumberFormat="1" applyFont="1" applyFill="1" applyBorder="1" applyAlignment="1">
      <alignment horizontal="center"/>
      <protection/>
    </xf>
    <xf numFmtId="3" fontId="19" fillId="0" borderId="6" xfId="29" applyNumberFormat="1" applyFont="1" applyBorder="1">
      <alignment/>
      <protection/>
    </xf>
    <xf numFmtId="3" fontId="5" fillId="0" borderId="2" xfId="29" applyNumberFormat="1" applyFont="1" applyBorder="1" applyAlignment="1">
      <alignment horizontal="center" vertical="center" wrapText="1"/>
      <protection/>
    </xf>
    <xf numFmtId="0" fontId="3" fillId="0" borderId="2" xfId="29" applyFont="1" applyBorder="1">
      <alignment/>
      <protection/>
    </xf>
    <xf numFmtId="3" fontId="3" fillId="0" borderId="0" xfId="29" applyNumberFormat="1" applyFont="1" applyAlignment="1">
      <alignment wrapText="1"/>
      <protection/>
    </xf>
    <xf numFmtId="0" fontId="3" fillId="0" borderId="0" xfId="29" applyFont="1" applyAlignment="1">
      <alignment wrapText="1"/>
      <protection/>
    </xf>
    <xf numFmtId="3" fontId="1" fillId="0" borderId="0" xfId="29" applyNumberFormat="1" applyFont="1" applyAlignment="1">
      <alignment horizontal="center" vertical="top" wrapText="1"/>
      <protection/>
    </xf>
    <xf numFmtId="3" fontId="3" fillId="0" borderId="2" xfId="29" applyNumberFormat="1" applyFont="1" applyBorder="1" applyAlignment="1">
      <alignment horizontal="center" vertical="top" wrapText="1"/>
      <protection/>
    </xf>
    <xf numFmtId="3" fontId="5" fillId="0" borderId="11" xfId="29" applyNumberFormat="1" applyFont="1" applyBorder="1" applyAlignment="1">
      <alignment horizontal="center" vertical="top" wrapText="1"/>
      <protection/>
    </xf>
    <xf numFmtId="3" fontId="5" fillId="0" borderId="12" xfId="29" applyNumberFormat="1" applyFont="1" applyBorder="1" applyAlignment="1">
      <alignment horizontal="center" vertical="top" wrapText="1"/>
      <protection/>
    </xf>
    <xf numFmtId="3" fontId="5" fillId="0" borderId="13" xfId="29" applyNumberFormat="1" applyFont="1" applyBorder="1" applyAlignment="1">
      <alignment horizontal="center" vertical="top" wrapText="1"/>
      <protection/>
    </xf>
    <xf numFmtId="3" fontId="18" fillId="0" borderId="0" xfId="29" applyNumberFormat="1" applyFont="1" applyAlignment="1">
      <alignment horizontal="center" vertical="top"/>
      <protection/>
    </xf>
    <xf numFmtId="3" fontId="23" fillId="0" borderId="14" xfId="29" applyNumberFormat="1" applyFont="1" applyBorder="1" applyAlignment="1">
      <alignment horizontal="right" vertical="top"/>
      <protection/>
    </xf>
    <xf numFmtId="3" fontId="5" fillId="0" borderId="15" xfId="29" applyNumberFormat="1" applyFont="1" applyBorder="1" applyAlignment="1">
      <alignment horizontal="center" vertical="center" wrapText="1"/>
      <protection/>
    </xf>
    <xf numFmtId="3" fontId="5" fillId="0" borderId="5" xfId="29" applyNumberFormat="1" applyFont="1" applyBorder="1" applyAlignment="1">
      <alignment horizontal="center" vertical="center" wrapText="1"/>
      <protection/>
    </xf>
    <xf numFmtId="3" fontId="5" fillId="0" borderId="10" xfId="29" applyNumberFormat="1" applyFont="1" applyBorder="1" applyAlignment="1">
      <alignment horizontal="center" vertical="center" wrapText="1"/>
      <protection/>
    </xf>
    <xf numFmtId="3" fontId="19" fillId="0" borderId="15" xfId="29" applyNumberFormat="1" applyFont="1" applyFill="1" applyBorder="1" applyAlignment="1">
      <alignment horizontal="center" vertical="center" wrapText="1"/>
      <protection/>
    </xf>
    <xf numFmtId="3" fontId="19" fillId="0" borderId="5" xfId="29" applyNumberFormat="1" applyFont="1" applyFill="1" applyBorder="1" applyAlignment="1">
      <alignment horizontal="center" vertical="center" wrapText="1"/>
      <protection/>
    </xf>
    <xf numFmtId="3" fontId="19" fillId="0" borderId="10" xfId="29" applyNumberFormat="1" applyFont="1" applyFill="1" applyBorder="1" applyAlignment="1">
      <alignment horizontal="center" vertical="center" wrapText="1"/>
      <protection/>
    </xf>
    <xf numFmtId="3" fontId="19" fillId="0" borderId="15" xfId="29" applyNumberFormat="1" applyFont="1" applyBorder="1" applyAlignment="1">
      <alignment horizontal="center" vertical="center" wrapText="1"/>
      <protection/>
    </xf>
    <xf numFmtId="3" fontId="19" fillId="0" borderId="5" xfId="29" applyNumberFormat="1" applyFont="1" applyBorder="1" applyAlignment="1">
      <alignment horizontal="center" vertical="center" wrapText="1"/>
      <protection/>
    </xf>
    <xf numFmtId="3" fontId="19" fillId="0" borderId="10" xfId="29" applyNumberFormat="1" applyFont="1" applyBorder="1" applyAlignment="1">
      <alignment horizontal="center" vertical="center" wrapText="1"/>
      <protection/>
    </xf>
    <xf numFmtId="3" fontId="1" fillId="0" borderId="11" xfId="29" applyNumberFormat="1" applyFont="1" applyBorder="1" applyAlignment="1">
      <alignment horizontal="center" vertical="center" wrapText="1"/>
      <protection/>
    </xf>
    <xf numFmtId="3" fontId="1" fillId="0" borderId="12" xfId="29" applyNumberFormat="1" applyFont="1" applyBorder="1" applyAlignment="1">
      <alignment horizontal="center" vertical="center" wrapText="1"/>
      <protection/>
    </xf>
    <xf numFmtId="3" fontId="1" fillId="0" borderId="13" xfId="29" applyNumberFormat="1" applyFont="1" applyBorder="1" applyAlignment="1">
      <alignment horizontal="center" vertical="center" wrapText="1"/>
      <protection/>
    </xf>
    <xf numFmtId="0" fontId="5" fillId="0" borderId="15" xfId="29" applyFont="1" applyBorder="1" applyAlignment="1">
      <alignment horizontal="center" vertical="center" wrapText="1"/>
      <protection/>
    </xf>
    <xf numFmtId="0" fontId="5" fillId="0" borderId="10" xfId="29" applyFont="1" applyBorder="1" applyAlignment="1">
      <alignment horizontal="center" vertical="center" wrapText="1"/>
      <protection/>
    </xf>
    <xf numFmtId="0" fontId="5" fillId="0" borderId="11" xfId="29" applyFont="1" applyBorder="1" applyAlignment="1">
      <alignment horizontal="center" vertical="center" wrapText="1"/>
      <protection/>
    </xf>
    <xf numFmtId="0" fontId="5" fillId="0" borderId="12" xfId="29" applyFont="1" applyBorder="1" applyAlignment="1">
      <alignment horizontal="center" vertical="center" wrapText="1"/>
      <protection/>
    </xf>
    <xf numFmtId="0" fontId="5" fillId="0" borderId="13" xfId="29" applyFont="1" applyBorder="1" applyAlignment="1">
      <alignment horizontal="center" vertical="center" wrapText="1"/>
      <protection/>
    </xf>
    <xf numFmtId="3" fontId="1" fillId="0" borderId="0" xfId="29" applyNumberFormat="1" applyFont="1" applyAlignment="1">
      <alignment horizontal="center"/>
      <protection/>
    </xf>
    <xf numFmtId="3" fontId="3" fillId="0" borderId="0" xfId="0" applyNumberFormat="1" applyFont="1" applyAlignment="1" quotePrefix="1">
      <alignment horizontal="left" vertical="top" wrapText="1"/>
    </xf>
    <xf numFmtId="3" fontId="1" fillId="0" borderId="0" xfId="0" applyNumberFormat="1" applyFont="1" applyAlignment="1">
      <alignment horizontal="center" vertical="top" wrapText="1"/>
    </xf>
    <xf numFmtId="3" fontId="18" fillId="0" borderId="0" xfId="0" applyNumberFormat="1" applyFont="1" applyAlignment="1">
      <alignment horizontal="center" vertical="top"/>
    </xf>
    <xf numFmtId="3" fontId="2" fillId="0" borderId="0" xfId="0" applyNumberFormat="1" applyFont="1" applyAlignment="1">
      <alignment horizontal="center" vertical="top"/>
    </xf>
    <xf numFmtId="3" fontId="5" fillId="0" borderId="2" xfId="0" applyNumberFormat="1" applyFont="1" applyBorder="1" applyAlignment="1">
      <alignment horizontal="center" vertical="center" wrapText="1"/>
    </xf>
    <xf numFmtId="0" fontId="0" fillId="0" borderId="2" xfId="0" applyFont="1" applyBorder="1" applyAlignment="1">
      <alignment/>
    </xf>
    <xf numFmtId="3" fontId="6" fillId="0" borderId="11" xfId="0" applyNumberFormat="1" applyFont="1" applyBorder="1" applyAlignment="1">
      <alignment horizontal="center" vertical="top" wrapText="1"/>
    </xf>
    <xf numFmtId="3" fontId="6" fillId="0" borderId="12" xfId="0" applyNumberFormat="1" applyFont="1" applyBorder="1" applyAlignment="1">
      <alignment horizontal="center" vertical="top" wrapText="1"/>
    </xf>
    <xf numFmtId="3" fontId="6" fillId="0" borderId="13" xfId="0" applyNumberFormat="1" applyFont="1" applyBorder="1" applyAlignment="1">
      <alignment horizontal="center" vertical="top" wrapText="1"/>
    </xf>
    <xf numFmtId="3" fontId="4" fillId="0" borderId="2" xfId="0" applyNumberFormat="1" applyFont="1" applyBorder="1" applyAlignment="1">
      <alignment horizontal="center" vertical="top" wrapText="1"/>
    </xf>
  </cellXfs>
  <cellStyles count="29">
    <cellStyle name="Normal" xfId="0"/>
    <cellStyle name="Comma" xfId="15"/>
    <cellStyle name="Comma [0]" xfId="16"/>
    <cellStyle name="Comma_Giao KH nam 2007" xfId="17"/>
    <cellStyle name="Comma0" xfId="18"/>
    <cellStyle name="Currency" xfId="19"/>
    <cellStyle name="Currency [0]" xfId="20"/>
    <cellStyle name="Currency0" xfId="21"/>
    <cellStyle name="Date" xfId="22"/>
    <cellStyle name="Fixed" xfId="23"/>
    <cellStyle name="Followed Hyperlink" xfId="24"/>
    <cellStyle name="Heading 1" xfId="25"/>
    <cellStyle name="Heading 2" xfId="26"/>
    <cellStyle name="Hyperlink" xfId="27"/>
    <cellStyle name="Normal_Giao DTDC 2006" xfId="28"/>
    <cellStyle name="Normal_Giao KH nam 2007" xfId="29"/>
    <cellStyle name="Percent" xfId="30"/>
    <cellStyle name="Total" xfId="31"/>
    <cellStyle name="똿뗦먛귟 [0.00]_PRODUCT DETAIL Q1" xfId="32"/>
    <cellStyle name="똿뗦먛귟_PRODUCT DETAIL Q1" xfId="33"/>
    <cellStyle name="믅됞 [0.00]_PRODUCT DETAIL Q1" xfId="34"/>
    <cellStyle name="믅됞_PRODUCT DETAIL Q1" xfId="35"/>
    <cellStyle name="백분율_HOBONG" xfId="36"/>
    <cellStyle name="뷭?_BOOKSHIP" xfId="37"/>
    <cellStyle name="콤마 [0]_1202" xfId="38"/>
    <cellStyle name="콤마_1202" xfId="39"/>
    <cellStyle name="통화 [0]_1202" xfId="40"/>
    <cellStyle name="통화_1202" xfId="41"/>
    <cellStyle name="표준_(정보부문)월별인원계획"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4</xdr:row>
      <xdr:rowOff>28575</xdr:rowOff>
    </xdr:from>
    <xdr:to>
      <xdr:col>5</xdr:col>
      <xdr:colOff>381000</xdr:colOff>
      <xdr:row>4</xdr:row>
      <xdr:rowOff>38100</xdr:rowOff>
    </xdr:to>
    <xdr:sp>
      <xdr:nvSpPr>
        <xdr:cNvPr id="1" name="Line 1"/>
        <xdr:cNvSpPr>
          <a:spLocks/>
        </xdr:cNvSpPr>
      </xdr:nvSpPr>
      <xdr:spPr>
        <a:xfrm>
          <a:off x="4448175" y="990600"/>
          <a:ext cx="21431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7</xdr:row>
      <xdr:rowOff>28575</xdr:rowOff>
    </xdr:from>
    <xdr:to>
      <xdr:col>4</xdr:col>
      <xdr:colOff>0</xdr:colOff>
      <xdr:row>7</xdr:row>
      <xdr:rowOff>28575</xdr:rowOff>
    </xdr:to>
    <xdr:sp>
      <xdr:nvSpPr>
        <xdr:cNvPr id="1" name="Line 1"/>
        <xdr:cNvSpPr>
          <a:spLocks/>
        </xdr:cNvSpPr>
      </xdr:nvSpPr>
      <xdr:spPr>
        <a:xfrm>
          <a:off x="3076575" y="1533525"/>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5</xdr:row>
      <xdr:rowOff>9525</xdr:rowOff>
    </xdr:from>
    <xdr:to>
      <xdr:col>6</xdr:col>
      <xdr:colOff>171450</xdr:colOff>
      <xdr:row>5</xdr:row>
      <xdr:rowOff>19050</xdr:rowOff>
    </xdr:to>
    <xdr:sp>
      <xdr:nvSpPr>
        <xdr:cNvPr id="1" name="Line 1"/>
        <xdr:cNvSpPr>
          <a:spLocks/>
        </xdr:cNvSpPr>
      </xdr:nvSpPr>
      <xdr:spPr>
        <a:xfrm flipV="1">
          <a:off x="3562350" y="771525"/>
          <a:ext cx="24003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2007\KH%20NS%20nam%202007\Du%20toan%20NSNN%20nam%202006%20trinh%20HDND%20d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y%20Documents\Trinh%20HDND%202007\Trinh%20HDND%202007\Phan%20bo%20DT%20THU%20N&#258;M%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6-B02"/>
      <sheetName val="PL6-B03"/>
      <sheetName val="PL6-B06"/>
      <sheetName val="PL6-B06 (2)"/>
      <sheetName val="PL6-B10"/>
      <sheetName val="PL6-B10 (2)"/>
      <sheetName val="PL6-B10 (3)"/>
      <sheetName val="PL6-B10 (4)"/>
      <sheetName val="Khoi tinh"/>
      <sheetName val="PL6-B31"/>
      <sheetName val="Vuot"/>
      <sheetName val="PL6-B23"/>
      <sheetName val="PL6-B25"/>
      <sheetName val="PL6-B27"/>
      <sheetName val="PL6-B32"/>
      <sheetName val="PL6-B33"/>
      <sheetName val="Huyen"/>
      <sheetName val="XDCB"/>
    </sheetNames>
    <sheetDataSet>
      <sheetData sheetId="6">
        <row r="22">
          <cell r="C22">
            <v>478</v>
          </cell>
          <cell r="D22">
            <v>178</v>
          </cell>
          <cell r="E22">
            <v>698</v>
          </cell>
          <cell r="F22">
            <v>320</v>
          </cell>
          <cell r="G22">
            <v>306</v>
          </cell>
          <cell r="H22">
            <v>650</v>
          </cell>
          <cell r="I22">
            <v>863</v>
          </cell>
          <cell r="J22">
            <v>338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Thanh"/>
      <sheetName val="Blong"/>
      <sheetName val="Plong "/>
      <sheetName val="LNinh"/>
      <sheetName val="BDop"/>
      <sheetName val="BDang"/>
      <sheetName val="DPhu"/>
      <sheetName val="DXoai"/>
      <sheetName val="QLDN"/>
      <sheetName val="Ktinh"/>
      <sheetName val="Toan tinh"/>
      <sheetName val="Sheet13"/>
      <sheetName val="Sheet14"/>
      <sheetName val="Sheet15"/>
    </sheetNames>
    <sheetDataSet>
      <sheetData sheetId="0">
        <row r="40">
          <cell r="H40">
            <v>80</v>
          </cell>
        </row>
      </sheetData>
      <sheetData sheetId="4">
        <row r="38">
          <cell r="H38">
            <v>10</v>
          </cell>
        </row>
      </sheetData>
      <sheetData sheetId="5">
        <row r="38">
          <cell r="H38">
            <v>10</v>
          </cell>
        </row>
      </sheetData>
      <sheetData sheetId="6">
        <row r="38">
          <cell r="H38">
            <v>0</v>
          </cell>
        </row>
      </sheetData>
      <sheetData sheetId="8">
        <row r="21">
          <cell r="H21">
            <v>200</v>
          </cell>
        </row>
        <row r="45">
          <cell r="H45">
            <v>9000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N85"/>
  <sheetViews>
    <sheetView workbookViewId="0" topLeftCell="C55">
      <selection activeCell="G140" sqref="G140"/>
    </sheetView>
  </sheetViews>
  <sheetFormatPr defaultColWidth="9.140625" defaultRowHeight="12.75"/>
  <cols>
    <col min="1" max="1" width="51.7109375" style="11" customWidth="1"/>
    <col min="2" max="3" width="10.421875" style="11" customWidth="1"/>
    <col min="4" max="5" width="10.28125" style="11" customWidth="1"/>
    <col min="6" max="13" width="8.7109375" style="11" customWidth="1"/>
    <col min="14" max="16384" width="10.28125" style="11" customWidth="1"/>
  </cols>
  <sheetData>
    <row r="2" spans="1:13" ht="22.5" customHeight="1">
      <c r="A2" s="123" t="s">
        <v>118</v>
      </c>
      <c r="B2" s="123"/>
      <c r="C2" s="123"/>
      <c r="D2" s="123"/>
      <c r="E2" s="123"/>
      <c r="F2" s="123"/>
      <c r="G2" s="123"/>
      <c r="H2" s="123"/>
      <c r="I2" s="123"/>
      <c r="J2" s="123"/>
      <c r="K2" s="123"/>
      <c r="L2" s="123"/>
      <c r="M2" s="123"/>
    </row>
    <row r="3" spans="1:13" ht="18.75">
      <c r="A3" s="123" t="s">
        <v>105</v>
      </c>
      <c r="B3" s="123"/>
      <c r="C3" s="123"/>
      <c r="D3" s="123"/>
      <c r="E3" s="123"/>
      <c r="F3" s="123"/>
      <c r="G3" s="123"/>
      <c r="H3" s="123"/>
      <c r="I3" s="123"/>
      <c r="J3" s="123"/>
      <c r="K3" s="123"/>
      <c r="L3" s="123"/>
      <c r="M3" s="123"/>
    </row>
    <row r="4" spans="1:13" s="74" customFormat="1" ht="18.75">
      <c r="A4" s="128" t="s">
        <v>133</v>
      </c>
      <c r="B4" s="128"/>
      <c r="C4" s="128"/>
      <c r="D4" s="128"/>
      <c r="E4" s="128"/>
      <c r="F4" s="128"/>
      <c r="G4" s="128"/>
      <c r="H4" s="128"/>
      <c r="I4" s="128"/>
      <c r="J4" s="128"/>
      <c r="K4" s="128"/>
      <c r="L4" s="128"/>
      <c r="M4" s="128"/>
    </row>
    <row r="5" ht="15.75">
      <c r="M5" s="86" t="s">
        <v>1</v>
      </c>
    </row>
    <row r="6" spans="1:13" s="14" customFormat="1" ht="15.75" customHeight="1">
      <c r="A6" s="119" t="s">
        <v>2</v>
      </c>
      <c r="B6" s="119" t="s">
        <v>128</v>
      </c>
      <c r="C6" s="119" t="s">
        <v>117</v>
      </c>
      <c r="D6" s="125" t="s">
        <v>3</v>
      </c>
      <c r="E6" s="126"/>
      <c r="F6" s="126"/>
      <c r="G6" s="126"/>
      <c r="H6" s="126"/>
      <c r="I6" s="126"/>
      <c r="J6" s="126"/>
      <c r="K6" s="126"/>
      <c r="L6" s="126"/>
      <c r="M6" s="127"/>
    </row>
    <row r="7" spans="1:13" s="14" customFormat="1" ht="15.75" customHeight="1">
      <c r="A7" s="119"/>
      <c r="B7" s="120"/>
      <c r="C7" s="120"/>
      <c r="D7" s="119" t="s">
        <v>4</v>
      </c>
      <c r="E7" s="119" t="s">
        <v>5</v>
      </c>
      <c r="F7" s="124" t="s">
        <v>3</v>
      </c>
      <c r="G7" s="124"/>
      <c r="H7" s="124"/>
      <c r="I7" s="124"/>
      <c r="J7" s="124"/>
      <c r="K7" s="124"/>
      <c r="L7" s="124"/>
      <c r="M7" s="124"/>
    </row>
    <row r="8" spans="1:13" s="14" customFormat="1" ht="31.5">
      <c r="A8" s="119"/>
      <c r="B8" s="120"/>
      <c r="C8" s="120"/>
      <c r="D8" s="119"/>
      <c r="E8" s="119"/>
      <c r="F8" s="15" t="s">
        <v>6</v>
      </c>
      <c r="G8" s="15" t="s">
        <v>7</v>
      </c>
      <c r="H8" s="15" t="s">
        <v>8</v>
      </c>
      <c r="I8" s="15" t="s">
        <v>9</v>
      </c>
      <c r="J8" s="15" t="s">
        <v>10</v>
      </c>
      <c r="K8" s="15" t="s">
        <v>11</v>
      </c>
      <c r="L8" s="15" t="s">
        <v>12</v>
      </c>
      <c r="M8" s="15" t="s">
        <v>13</v>
      </c>
    </row>
    <row r="9" spans="1:13" ht="15.75">
      <c r="A9" s="9">
        <v>1</v>
      </c>
      <c r="B9" s="9">
        <v>2</v>
      </c>
      <c r="C9" s="9" t="s">
        <v>129</v>
      </c>
      <c r="D9" s="9">
        <v>4</v>
      </c>
      <c r="E9" s="9" t="s">
        <v>130</v>
      </c>
      <c r="F9" s="9">
        <v>6</v>
      </c>
      <c r="G9" s="9">
        <v>7</v>
      </c>
      <c r="H9" s="9">
        <v>8</v>
      </c>
      <c r="I9" s="9">
        <v>9</v>
      </c>
      <c r="J9" s="9">
        <v>10</v>
      </c>
      <c r="K9" s="9">
        <v>11</v>
      </c>
      <c r="L9" s="9">
        <v>12</v>
      </c>
      <c r="M9" s="9">
        <v>13</v>
      </c>
    </row>
    <row r="10" spans="1:13" s="13" customFormat="1" ht="24.75" customHeight="1">
      <c r="A10" s="30" t="s">
        <v>99</v>
      </c>
      <c r="B10" s="31">
        <f aca="true" t="shared" si="0" ref="B10:M10">B11+B58</f>
        <v>1849558</v>
      </c>
      <c r="C10" s="31" t="e">
        <f t="shared" si="0"/>
        <v>#REF!</v>
      </c>
      <c r="D10" s="31">
        <f t="shared" si="0"/>
        <v>1098583</v>
      </c>
      <c r="E10" s="31" t="e">
        <f t="shared" si="0"/>
        <v>#REF!</v>
      </c>
      <c r="F10" s="31" t="e">
        <f t="shared" si="0"/>
        <v>#REF!</v>
      </c>
      <c r="G10" s="31" t="e">
        <f t="shared" si="0"/>
        <v>#REF!</v>
      </c>
      <c r="H10" s="31" t="e">
        <f t="shared" si="0"/>
        <v>#REF!</v>
      </c>
      <c r="I10" s="31" t="e">
        <f t="shared" si="0"/>
        <v>#REF!</v>
      </c>
      <c r="J10" s="31" t="e">
        <f t="shared" si="0"/>
        <v>#REF!</v>
      </c>
      <c r="K10" s="31" t="e">
        <f t="shared" si="0"/>
        <v>#REF!</v>
      </c>
      <c r="L10" s="31" t="e">
        <f t="shared" si="0"/>
        <v>#REF!</v>
      </c>
      <c r="M10" s="31" t="e">
        <f t="shared" si="0"/>
        <v>#REF!</v>
      </c>
    </row>
    <row r="11" spans="1:13" s="13" customFormat="1" ht="15.75">
      <c r="A11" s="63" t="s">
        <v>63</v>
      </c>
      <c r="B11" s="49">
        <f aca="true" t="shared" si="1" ref="B11:M11">B12+B26+SUM(B52:B57)</f>
        <v>1701558</v>
      </c>
      <c r="C11" s="49" t="e">
        <f t="shared" si="1"/>
        <v>#REF!</v>
      </c>
      <c r="D11" s="49">
        <f t="shared" si="1"/>
        <v>1006983</v>
      </c>
      <c r="E11" s="49" t="e">
        <f t="shared" si="1"/>
        <v>#REF!</v>
      </c>
      <c r="F11" s="49" t="e">
        <f t="shared" si="1"/>
        <v>#REF!</v>
      </c>
      <c r="G11" s="49" t="e">
        <f t="shared" si="1"/>
        <v>#REF!</v>
      </c>
      <c r="H11" s="49" t="e">
        <f t="shared" si="1"/>
        <v>#REF!</v>
      </c>
      <c r="I11" s="49" t="e">
        <f t="shared" si="1"/>
        <v>#REF!</v>
      </c>
      <c r="J11" s="49" t="e">
        <f t="shared" si="1"/>
        <v>#REF!</v>
      </c>
      <c r="K11" s="49" t="e">
        <f t="shared" si="1"/>
        <v>#REF!</v>
      </c>
      <c r="L11" s="49" t="e">
        <f t="shared" si="1"/>
        <v>#REF!</v>
      </c>
      <c r="M11" s="49" t="e">
        <f t="shared" si="1"/>
        <v>#REF!</v>
      </c>
    </row>
    <row r="12" spans="1:13" s="13" customFormat="1" ht="15.75">
      <c r="A12" s="64" t="s">
        <v>64</v>
      </c>
      <c r="B12" s="50">
        <v>513130</v>
      </c>
      <c r="C12" s="50">
        <f aca="true" t="shared" si="2" ref="C12:M12">C16+C24+C25</f>
        <v>723858</v>
      </c>
      <c r="D12" s="50">
        <f t="shared" si="2"/>
        <v>397780</v>
      </c>
      <c r="E12" s="50">
        <f t="shared" si="2"/>
        <v>326078</v>
      </c>
      <c r="F12" s="50">
        <f t="shared" si="2"/>
        <v>43350</v>
      </c>
      <c r="G12" s="50">
        <f t="shared" si="2"/>
        <v>24850</v>
      </c>
      <c r="H12" s="50">
        <f t="shared" si="2"/>
        <v>48320</v>
      </c>
      <c r="I12" s="50">
        <f t="shared" si="2"/>
        <v>38019</v>
      </c>
      <c r="J12" s="50">
        <f t="shared" si="2"/>
        <v>29890</v>
      </c>
      <c r="K12" s="50">
        <f t="shared" si="2"/>
        <v>33870</v>
      </c>
      <c r="L12" s="50">
        <f t="shared" si="2"/>
        <v>68419</v>
      </c>
      <c r="M12" s="50">
        <f t="shared" si="2"/>
        <v>39360</v>
      </c>
    </row>
    <row r="13" spans="1:14" s="16" customFormat="1" ht="0.75" customHeight="1">
      <c r="A13" s="65" t="s">
        <v>65</v>
      </c>
      <c r="B13" s="51"/>
      <c r="C13" s="51"/>
      <c r="D13" s="51"/>
      <c r="E13" s="51"/>
      <c r="F13" s="51"/>
      <c r="G13" s="51"/>
      <c r="H13" s="51"/>
      <c r="I13" s="51"/>
      <c r="J13" s="51"/>
      <c r="K13" s="51"/>
      <c r="L13" s="51"/>
      <c r="M13" s="51"/>
      <c r="N13" s="13"/>
    </row>
    <row r="14" spans="1:14" s="16" customFormat="1" ht="15.75" hidden="1">
      <c r="A14" s="87" t="s">
        <v>66</v>
      </c>
      <c r="B14" s="88"/>
      <c r="C14" s="51"/>
      <c r="D14" s="51"/>
      <c r="E14" s="51"/>
      <c r="F14" s="51"/>
      <c r="G14" s="51"/>
      <c r="H14" s="51"/>
      <c r="I14" s="51"/>
      <c r="J14" s="51"/>
      <c r="K14" s="51"/>
      <c r="L14" s="51"/>
      <c r="M14" s="51"/>
      <c r="N14" s="13"/>
    </row>
    <row r="15" spans="1:14" s="16" customFormat="1" ht="15.75" hidden="1">
      <c r="A15" s="87" t="s">
        <v>67</v>
      </c>
      <c r="B15" s="88"/>
      <c r="C15" s="51"/>
      <c r="D15" s="51"/>
      <c r="E15" s="51"/>
      <c r="F15" s="51"/>
      <c r="G15" s="51"/>
      <c r="H15" s="51"/>
      <c r="I15" s="51"/>
      <c r="J15" s="51"/>
      <c r="K15" s="51"/>
      <c r="L15" s="51"/>
      <c r="M15" s="51"/>
      <c r="N15" s="13"/>
    </row>
    <row r="16" spans="1:14" s="17" customFormat="1" ht="15.75">
      <c r="A16" s="65" t="s">
        <v>68</v>
      </c>
      <c r="B16" s="51">
        <v>511130</v>
      </c>
      <c r="C16" s="51">
        <f aca="true" t="shared" si="3" ref="C16:M16">C17+C23</f>
        <v>691858</v>
      </c>
      <c r="D16" s="51">
        <f t="shared" si="3"/>
        <v>365780</v>
      </c>
      <c r="E16" s="51">
        <f t="shared" si="3"/>
        <v>326078</v>
      </c>
      <c r="F16" s="51">
        <f t="shared" si="3"/>
        <v>43350</v>
      </c>
      <c r="G16" s="51">
        <f t="shared" si="3"/>
        <v>24850</v>
      </c>
      <c r="H16" s="51">
        <f t="shared" si="3"/>
        <v>48320</v>
      </c>
      <c r="I16" s="51">
        <f t="shared" si="3"/>
        <v>38019</v>
      </c>
      <c r="J16" s="51">
        <f t="shared" si="3"/>
        <v>29890</v>
      </c>
      <c r="K16" s="51">
        <f t="shared" si="3"/>
        <v>33870</v>
      </c>
      <c r="L16" s="51">
        <f t="shared" si="3"/>
        <v>68419</v>
      </c>
      <c r="M16" s="51">
        <f t="shared" si="3"/>
        <v>39360</v>
      </c>
      <c r="N16" s="13"/>
    </row>
    <row r="17" spans="1:14" s="17" customFormat="1" ht="15.75">
      <c r="A17" s="65" t="s">
        <v>138</v>
      </c>
      <c r="B17" s="51"/>
      <c r="C17" s="51">
        <f>D17+E17</f>
        <v>636858</v>
      </c>
      <c r="D17" s="51">
        <f>D18+D19+D20+D21+D22</f>
        <v>310780</v>
      </c>
      <c r="E17" s="51">
        <f aca="true" t="shared" si="4" ref="E17:M17">SUM(E18:E22)</f>
        <v>326078</v>
      </c>
      <c r="F17" s="51">
        <f t="shared" si="4"/>
        <v>43350</v>
      </c>
      <c r="G17" s="51">
        <f t="shared" si="4"/>
        <v>24850</v>
      </c>
      <c r="H17" s="51">
        <f t="shared" si="4"/>
        <v>48320</v>
      </c>
      <c r="I17" s="51">
        <f t="shared" si="4"/>
        <v>38019</v>
      </c>
      <c r="J17" s="51">
        <f t="shared" si="4"/>
        <v>29890</v>
      </c>
      <c r="K17" s="51">
        <f t="shared" si="4"/>
        <v>33870</v>
      </c>
      <c r="L17" s="51">
        <f t="shared" si="4"/>
        <v>68419</v>
      </c>
      <c r="M17" s="51">
        <f t="shared" si="4"/>
        <v>39360</v>
      </c>
      <c r="N17" s="13"/>
    </row>
    <row r="18" spans="1:14" s="16" customFormat="1" ht="15.75">
      <c r="A18" s="87" t="s">
        <v>69</v>
      </c>
      <c r="B18" s="88"/>
      <c r="C18" s="51">
        <v>251960</v>
      </c>
      <c r="D18" s="51">
        <f>C18-E18</f>
        <v>73420</v>
      </c>
      <c r="E18" s="51">
        <f>SUM(F18:M18)</f>
        <v>178540</v>
      </c>
      <c r="F18" s="51">
        <v>27500</v>
      </c>
      <c r="G18" s="51">
        <v>18700</v>
      </c>
      <c r="H18" s="51">
        <v>31660</v>
      </c>
      <c r="I18" s="51">
        <v>15600</v>
      </c>
      <c r="J18" s="51">
        <v>13600</v>
      </c>
      <c r="K18" s="51">
        <v>18080</v>
      </c>
      <c r="L18" s="51">
        <v>35200</v>
      </c>
      <c r="M18" s="51">
        <v>18200</v>
      </c>
      <c r="N18" s="18"/>
    </row>
    <row r="19" spans="1:14" s="16" customFormat="1" ht="15.75">
      <c r="A19" s="87" t="s">
        <v>70</v>
      </c>
      <c r="B19" s="88"/>
      <c r="C19" s="51">
        <v>130310</v>
      </c>
      <c r="D19" s="51">
        <f>C19-E19</f>
        <v>92770</v>
      </c>
      <c r="E19" s="51">
        <f>SUM(F19:M19)</f>
        <v>37540</v>
      </c>
      <c r="F19" s="51">
        <v>0</v>
      </c>
      <c r="G19" s="51">
        <v>0</v>
      </c>
      <c r="H19" s="51">
        <v>8610</v>
      </c>
      <c r="I19" s="51">
        <v>7850</v>
      </c>
      <c r="J19" s="51">
        <v>10350</v>
      </c>
      <c r="K19" s="51">
        <v>8230</v>
      </c>
      <c r="L19" s="51">
        <v>0</v>
      </c>
      <c r="M19" s="51">
        <v>2500</v>
      </c>
      <c r="N19" s="18"/>
    </row>
    <row r="20" spans="1:14" s="16" customFormat="1" ht="15.75">
      <c r="A20" s="87" t="s">
        <v>103</v>
      </c>
      <c r="B20" s="88"/>
      <c r="C20" s="51">
        <f aca="true" t="shared" si="5" ref="C20:C33">D20+E20</f>
        <v>124188</v>
      </c>
      <c r="D20" s="51">
        <v>109590</v>
      </c>
      <c r="E20" s="51">
        <f>SUM(F20:M20)</f>
        <v>14598</v>
      </c>
      <c r="F20" s="51">
        <f>450</f>
        <v>450</v>
      </c>
      <c r="G20" s="51"/>
      <c r="H20" s="51">
        <f>900</f>
        <v>900</v>
      </c>
      <c r="I20" s="51">
        <f>769</f>
        <v>769</v>
      </c>
      <c r="J20" s="51">
        <f>3290</f>
        <v>3290</v>
      </c>
      <c r="K20" s="51">
        <f>960</f>
        <v>960</v>
      </c>
      <c r="L20" s="51">
        <f>4219</f>
        <v>4219</v>
      </c>
      <c r="M20" s="51">
        <f>4010</f>
        <v>4010</v>
      </c>
      <c r="N20" s="18"/>
    </row>
    <row r="21" spans="1:14" s="16" customFormat="1" ht="15.75">
      <c r="A21" s="87" t="s">
        <v>104</v>
      </c>
      <c r="B21" s="88"/>
      <c r="C21" s="51">
        <f t="shared" si="5"/>
        <v>0</v>
      </c>
      <c r="D21" s="51">
        <v>0</v>
      </c>
      <c r="E21" s="51"/>
      <c r="F21" s="51"/>
      <c r="G21" s="51"/>
      <c r="H21" s="51"/>
      <c r="I21" s="51"/>
      <c r="J21" s="51"/>
      <c r="K21" s="51"/>
      <c r="L21" s="51"/>
      <c r="M21" s="51"/>
      <c r="N21" s="18"/>
    </row>
    <row r="22" spans="1:14" s="16" customFormat="1" ht="15.75">
      <c r="A22" s="87" t="s">
        <v>71</v>
      </c>
      <c r="B22" s="88"/>
      <c r="C22" s="51">
        <f t="shared" si="5"/>
        <v>130400</v>
      </c>
      <c r="D22" s="51">
        <f>'Bang bieu 1(DU TOAN THU)'!C58</f>
        <v>35000</v>
      </c>
      <c r="E22" s="51">
        <f>SUM(F22:M22)</f>
        <v>95400</v>
      </c>
      <c r="F22" s="51">
        <f>'Bang bieu 1(DU TOAN THU)'!E58</f>
        <v>15400</v>
      </c>
      <c r="G22" s="51">
        <f>'Bang bieu 1(DU TOAN THU)'!F58</f>
        <v>6150</v>
      </c>
      <c r="H22" s="51">
        <f>'Bang bieu 1(DU TOAN THU)'!G58</f>
        <v>7150</v>
      </c>
      <c r="I22" s="51">
        <f>'Bang bieu 1(DU TOAN THU)'!H58</f>
        <v>13800</v>
      </c>
      <c r="J22" s="51">
        <f>'Bang bieu 1(DU TOAN THU)'!I58</f>
        <v>2650</v>
      </c>
      <c r="K22" s="51">
        <f>'Bang bieu 1(DU TOAN THU)'!J58</f>
        <v>6600</v>
      </c>
      <c r="L22" s="51">
        <f>'Bang bieu 1(DU TOAN THU)'!K58</f>
        <v>29000</v>
      </c>
      <c r="M22" s="51">
        <f>'Bang bieu 1(DU TOAN THU)'!L58</f>
        <v>14650</v>
      </c>
      <c r="N22" s="18"/>
    </row>
    <row r="23" spans="1:14" s="17" customFormat="1" ht="15.75">
      <c r="A23" s="65" t="s">
        <v>139</v>
      </c>
      <c r="B23" s="51"/>
      <c r="C23" s="51">
        <f t="shared" si="5"/>
        <v>55000</v>
      </c>
      <c r="D23" s="51">
        <v>55000</v>
      </c>
      <c r="E23" s="51"/>
      <c r="F23" s="51"/>
      <c r="G23" s="51"/>
      <c r="H23" s="51"/>
      <c r="I23" s="51"/>
      <c r="J23" s="51"/>
      <c r="K23" s="51"/>
      <c r="L23" s="51"/>
      <c r="M23" s="51"/>
      <c r="N23" s="13"/>
    </row>
    <row r="24" spans="1:14" ht="31.5">
      <c r="A24" s="66" t="s">
        <v>140</v>
      </c>
      <c r="B24" s="52">
        <v>0</v>
      </c>
      <c r="C24" s="53">
        <f t="shared" si="5"/>
        <v>30000</v>
      </c>
      <c r="D24" s="52">
        <v>30000</v>
      </c>
      <c r="E24" s="51"/>
      <c r="F24" s="52"/>
      <c r="G24" s="52"/>
      <c r="H24" s="52"/>
      <c r="I24" s="52"/>
      <c r="J24" s="52"/>
      <c r="K24" s="52"/>
      <c r="L24" s="52"/>
      <c r="M24" s="52"/>
      <c r="N24" s="13"/>
    </row>
    <row r="25" spans="1:14" ht="15.75">
      <c r="A25" s="66" t="s">
        <v>72</v>
      </c>
      <c r="B25" s="52">
        <v>2000</v>
      </c>
      <c r="C25" s="53">
        <f t="shared" si="5"/>
        <v>2000</v>
      </c>
      <c r="D25" s="52">
        <v>2000</v>
      </c>
      <c r="E25" s="51"/>
      <c r="F25" s="52"/>
      <c r="G25" s="52"/>
      <c r="H25" s="52"/>
      <c r="I25" s="52"/>
      <c r="J25" s="52"/>
      <c r="K25" s="52"/>
      <c r="L25" s="52"/>
      <c r="M25" s="52"/>
      <c r="N25" s="13"/>
    </row>
    <row r="26" spans="1:13" s="13" customFormat="1" ht="15.75">
      <c r="A26" s="64" t="s">
        <v>73</v>
      </c>
      <c r="B26" s="50">
        <v>1070830</v>
      </c>
      <c r="C26" s="50">
        <f t="shared" si="5"/>
        <v>1148717</v>
      </c>
      <c r="D26" s="50">
        <f aca="true" t="shared" si="6" ref="D26:M26">D27+D28+D34+SUM(D38:D43)+D48+D51</f>
        <v>380805</v>
      </c>
      <c r="E26" s="50">
        <f t="shared" si="6"/>
        <v>767912</v>
      </c>
      <c r="F26" s="50">
        <f t="shared" si="6"/>
        <v>73341</v>
      </c>
      <c r="G26" s="50">
        <f t="shared" si="6"/>
        <v>91388</v>
      </c>
      <c r="H26" s="50">
        <f t="shared" si="6"/>
        <v>156373</v>
      </c>
      <c r="I26" s="50">
        <f t="shared" si="6"/>
        <v>99622</v>
      </c>
      <c r="J26" s="50">
        <f t="shared" si="6"/>
        <v>53560</v>
      </c>
      <c r="K26" s="50">
        <f t="shared" si="6"/>
        <v>118994</v>
      </c>
      <c r="L26" s="50">
        <f t="shared" si="6"/>
        <v>110294</v>
      </c>
      <c r="M26" s="50">
        <f t="shared" si="6"/>
        <v>64340</v>
      </c>
    </row>
    <row r="27" spans="1:14" s="20" customFormat="1" ht="15.75">
      <c r="A27" s="67" t="s">
        <v>74</v>
      </c>
      <c r="B27" s="51"/>
      <c r="C27" s="51">
        <f t="shared" si="5"/>
        <v>1973</v>
      </c>
      <c r="D27" s="51">
        <f>2000-27</f>
        <v>1973</v>
      </c>
      <c r="E27" s="54">
        <f>SUM(F27:M27)</f>
        <v>0</v>
      </c>
      <c r="F27" s="54">
        <v>0</v>
      </c>
      <c r="G27" s="54">
        <v>0</v>
      </c>
      <c r="H27" s="54">
        <v>0</v>
      </c>
      <c r="I27" s="54">
        <v>0</v>
      </c>
      <c r="J27" s="54">
        <v>0</v>
      </c>
      <c r="K27" s="54">
        <v>0</v>
      </c>
      <c r="L27" s="54">
        <v>0</v>
      </c>
      <c r="M27" s="54">
        <v>0</v>
      </c>
      <c r="N27" s="19"/>
    </row>
    <row r="28" spans="1:13" s="38" customFormat="1" ht="15.75">
      <c r="A28" s="68" t="s">
        <v>75</v>
      </c>
      <c r="B28" s="55">
        <v>108438</v>
      </c>
      <c r="C28" s="51">
        <f t="shared" si="5"/>
        <v>117254</v>
      </c>
      <c r="D28" s="51">
        <f>SUM(D29:D32)</f>
        <v>54268</v>
      </c>
      <c r="E28" s="55">
        <f>SUM(F28:M28)</f>
        <v>62986</v>
      </c>
      <c r="F28" s="55">
        <f>SUM(F29:F32)</f>
        <v>12299</v>
      </c>
      <c r="G28" s="55">
        <f aca="true" t="shared" si="7" ref="G28:M28">SUM(G29:G32)</f>
        <v>8585</v>
      </c>
      <c r="H28" s="55">
        <f t="shared" si="7"/>
        <v>11396</v>
      </c>
      <c r="I28" s="55">
        <f t="shared" si="7"/>
        <v>6528</v>
      </c>
      <c r="J28" s="55">
        <f t="shared" si="7"/>
        <v>4135</v>
      </c>
      <c r="K28" s="55">
        <f>SUM(K29:K32)</f>
        <v>8465</v>
      </c>
      <c r="L28" s="55">
        <f t="shared" si="7"/>
        <v>7102</v>
      </c>
      <c r="M28" s="55">
        <f t="shared" si="7"/>
        <v>4476</v>
      </c>
    </row>
    <row r="29" spans="1:14" s="39" customFormat="1" ht="15.75">
      <c r="A29" s="89" t="s">
        <v>76</v>
      </c>
      <c r="B29" s="90"/>
      <c r="C29" s="51">
        <f t="shared" si="5"/>
        <v>40737</v>
      </c>
      <c r="D29" s="51">
        <f>6655+19364-227-867</f>
        <v>24925</v>
      </c>
      <c r="E29" s="55">
        <f aca="true" t="shared" si="8" ref="E29:E34">SUM(F29:M29)</f>
        <v>15812</v>
      </c>
      <c r="F29" s="55">
        <f>312-19</f>
        <v>293</v>
      </c>
      <c r="G29" s="55">
        <f>4028-242</f>
        <v>3786</v>
      </c>
      <c r="H29" s="55">
        <f>3090-185</f>
        <v>2905</v>
      </c>
      <c r="I29" s="55">
        <f>2993-180</f>
        <v>2813</v>
      </c>
      <c r="J29" s="55">
        <f>1560-68</f>
        <v>1492</v>
      </c>
      <c r="K29" s="55">
        <f>3130-68</f>
        <v>3062</v>
      </c>
      <c r="L29" s="55">
        <f>1195-72</f>
        <v>1123</v>
      </c>
      <c r="M29" s="55">
        <f>360-22</f>
        <v>338</v>
      </c>
      <c r="N29" s="40"/>
    </row>
    <row r="30" spans="1:14" s="39" customFormat="1" ht="15.75">
      <c r="A30" s="89" t="s">
        <v>77</v>
      </c>
      <c r="B30" s="90"/>
      <c r="C30" s="51">
        <f t="shared" si="5"/>
        <v>11303</v>
      </c>
      <c r="D30" s="51">
        <f>4077-28</f>
        <v>4049</v>
      </c>
      <c r="E30" s="55">
        <f t="shared" si="8"/>
        <v>7254</v>
      </c>
      <c r="F30" s="55">
        <f>959-58</f>
        <v>901</v>
      </c>
      <c r="G30" s="55">
        <f>866-52</f>
        <v>814</v>
      </c>
      <c r="H30" s="55">
        <f>2220-133</f>
        <v>2087</v>
      </c>
      <c r="I30" s="55">
        <f>550-33</f>
        <v>517</v>
      </c>
      <c r="J30" s="55">
        <f>520-31</f>
        <v>489</v>
      </c>
      <c r="K30" s="55">
        <f>1190-46</f>
        <v>1144</v>
      </c>
      <c r="L30" s="55">
        <f>1026-62</f>
        <v>964</v>
      </c>
      <c r="M30" s="55">
        <f>360-22</f>
        <v>338</v>
      </c>
      <c r="N30" s="40"/>
    </row>
    <row r="31" spans="1:14" s="39" customFormat="1" ht="15.75">
      <c r="A31" s="89" t="s">
        <v>78</v>
      </c>
      <c r="B31" s="90"/>
      <c r="C31" s="51">
        <f t="shared" si="5"/>
        <v>29777</v>
      </c>
      <c r="D31" s="51">
        <v>0</v>
      </c>
      <c r="E31" s="55">
        <f t="shared" si="8"/>
        <v>29777</v>
      </c>
      <c r="F31" s="55">
        <f>7080+500+897+825-149</f>
        <v>9153</v>
      </c>
      <c r="G31" s="55">
        <f>3137-67</f>
        <v>3070</v>
      </c>
      <c r="H31" s="55">
        <f>4440-93</f>
        <v>4347</v>
      </c>
      <c r="I31" s="55">
        <f>2362-50</f>
        <v>2312</v>
      </c>
      <c r="J31" s="55">
        <f>1194-25</f>
        <v>1169</v>
      </c>
      <c r="K31" s="55">
        <f>2916-61</f>
        <v>2855</v>
      </c>
      <c r="L31" s="55">
        <f>4070-85</f>
        <v>3985</v>
      </c>
      <c r="M31" s="55">
        <f>2948-62</f>
        <v>2886</v>
      </c>
      <c r="N31" s="41"/>
    </row>
    <row r="32" spans="1:14" s="39" customFormat="1" ht="15.75">
      <c r="A32" s="89" t="s">
        <v>79</v>
      </c>
      <c r="B32" s="90"/>
      <c r="C32" s="51">
        <f t="shared" si="5"/>
        <v>35437</v>
      </c>
      <c r="D32" s="51">
        <f>25514-220</f>
        <v>25294</v>
      </c>
      <c r="E32" s="55">
        <f t="shared" si="8"/>
        <v>10143</v>
      </c>
      <c r="F32" s="55">
        <f>1200+824-72</f>
        <v>1952</v>
      </c>
      <c r="G32" s="55">
        <f>935+36-56</f>
        <v>915</v>
      </c>
      <c r="H32" s="55">
        <f>1400+741-84</f>
        <v>2057</v>
      </c>
      <c r="I32" s="55">
        <f>927+15-56</f>
        <v>886</v>
      </c>
      <c r="J32" s="55">
        <f>901+109-25</f>
        <v>985</v>
      </c>
      <c r="K32" s="55">
        <f>912+527-35</f>
        <v>1404</v>
      </c>
      <c r="L32" s="55">
        <f>930+156-56</f>
        <v>1030</v>
      </c>
      <c r="M32" s="55">
        <f>972-58</f>
        <v>914</v>
      </c>
      <c r="N32" s="40"/>
    </row>
    <row r="33" spans="1:14" s="39" customFormat="1" ht="15.75">
      <c r="A33" s="68" t="s">
        <v>100</v>
      </c>
      <c r="B33" s="55"/>
      <c r="C33" s="51">
        <f t="shared" si="5"/>
        <v>14366</v>
      </c>
      <c r="D33" s="51">
        <v>6189</v>
      </c>
      <c r="E33" s="55">
        <f t="shared" si="8"/>
        <v>8177</v>
      </c>
      <c r="F33" s="55">
        <v>1200</v>
      </c>
      <c r="G33" s="55">
        <v>935</v>
      </c>
      <c r="H33" s="55">
        <v>1400</v>
      </c>
      <c r="I33" s="55">
        <v>927</v>
      </c>
      <c r="J33" s="55">
        <v>901</v>
      </c>
      <c r="K33" s="55">
        <v>912</v>
      </c>
      <c r="L33" s="55">
        <v>930</v>
      </c>
      <c r="M33" s="55">
        <v>972</v>
      </c>
      <c r="N33" s="40"/>
    </row>
    <row r="34" spans="1:14" s="38" customFormat="1" ht="15.75">
      <c r="A34" s="68" t="s">
        <v>80</v>
      </c>
      <c r="B34" s="55">
        <v>504799</v>
      </c>
      <c r="C34" s="51">
        <f>E34+D34</f>
        <v>506988</v>
      </c>
      <c r="D34" s="51">
        <f>D35+D36</f>
        <v>104815</v>
      </c>
      <c r="E34" s="55">
        <f t="shared" si="8"/>
        <v>402173</v>
      </c>
      <c r="F34" s="55">
        <f aca="true" t="shared" si="9" ref="F34:M34">F35+F36</f>
        <v>34260</v>
      </c>
      <c r="G34" s="55">
        <f t="shared" si="9"/>
        <v>44761</v>
      </c>
      <c r="H34" s="55">
        <f t="shared" si="9"/>
        <v>96380</v>
      </c>
      <c r="I34" s="55">
        <f t="shared" si="9"/>
        <v>47184</v>
      </c>
      <c r="J34" s="55">
        <f t="shared" si="9"/>
        <v>25630</v>
      </c>
      <c r="K34" s="55">
        <f t="shared" si="9"/>
        <v>61464</v>
      </c>
      <c r="L34" s="55">
        <f t="shared" si="9"/>
        <v>61508</v>
      </c>
      <c r="M34" s="55">
        <f t="shared" si="9"/>
        <v>30986</v>
      </c>
      <c r="N34" s="37"/>
    </row>
    <row r="35" spans="1:14" s="21" customFormat="1" ht="15.75">
      <c r="A35" s="89" t="s">
        <v>81</v>
      </c>
      <c r="B35" s="90"/>
      <c r="C35" s="51">
        <f aca="true" t="shared" si="10" ref="C35:C54">D35+E35</f>
        <v>476182</v>
      </c>
      <c r="D35" s="51">
        <f>74052-1370+9711</f>
        <v>82393</v>
      </c>
      <c r="E35" s="55">
        <f>SUM(F35:M35)</f>
        <v>393789</v>
      </c>
      <c r="F35" s="55">
        <f>32297+1596-338</f>
        <v>33555</v>
      </c>
      <c r="G35" s="55">
        <f>41633+2916-500</f>
        <v>44049</v>
      </c>
      <c r="H35" s="55">
        <f>95663+108-1148</f>
        <v>94623</v>
      </c>
      <c r="I35" s="55">
        <f>46372+231-556</f>
        <v>46047</v>
      </c>
      <c r="J35" s="55">
        <f>25347-304</f>
        <v>25043</v>
      </c>
      <c r="K35" s="55">
        <f>55451+4830+332-665</f>
        <v>59948</v>
      </c>
      <c r="L35" s="55">
        <f>59150+1634+149-710</f>
        <v>60223</v>
      </c>
      <c r="M35" s="55">
        <f>28692+1953-344</f>
        <v>30301</v>
      </c>
      <c r="N35" s="19"/>
    </row>
    <row r="36" spans="1:14" s="21" customFormat="1" ht="15.75">
      <c r="A36" s="89" t="s">
        <v>82</v>
      </c>
      <c r="B36" s="90"/>
      <c r="C36" s="51">
        <f t="shared" si="10"/>
        <v>30806</v>
      </c>
      <c r="D36" s="51">
        <f>22314-489+597</f>
        <v>22422</v>
      </c>
      <c r="E36" s="55">
        <f>SUM(F36:M36)</f>
        <v>8384</v>
      </c>
      <c r="F36" s="55">
        <f>676-14+43</f>
        <v>705</v>
      </c>
      <c r="G36" s="55">
        <f>727-15</f>
        <v>712</v>
      </c>
      <c r="H36" s="55">
        <f>1759-37+35</f>
        <v>1757</v>
      </c>
      <c r="I36" s="55">
        <f>1161-24</f>
        <v>1137</v>
      </c>
      <c r="J36" s="55">
        <f>600-13</f>
        <v>587</v>
      </c>
      <c r="K36" s="55">
        <f>1500-32+48</f>
        <v>1516</v>
      </c>
      <c r="L36" s="55">
        <f>1300-27+12</f>
        <v>1285</v>
      </c>
      <c r="M36" s="55">
        <f>700-15</f>
        <v>685</v>
      </c>
      <c r="N36" s="19"/>
    </row>
    <row r="37" spans="1:14" s="21" customFormat="1" ht="15.75">
      <c r="A37" s="68" t="s">
        <v>127</v>
      </c>
      <c r="B37" s="55"/>
      <c r="C37" s="51">
        <f t="shared" si="10"/>
        <v>10308</v>
      </c>
      <c r="D37" s="51">
        <v>10308</v>
      </c>
      <c r="E37" s="55">
        <f>SUM(F37:M37)</f>
        <v>0</v>
      </c>
      <c r="F37" s="55">
        <v>0</v>
      </c>
      <c r="G37" s="55">
        <v>0</v>
      </c>
      <c r="H37" s="55">
        <v>0</v>
      </c>
      <c r="I37" s="55">
        <v>0</v>
      </c>
      <c r="J37" s="55">
        <v>0</v>
      </c>
      <c r="K37" s="55">
        <v>0</v>
      </c>
      <c r="L37" s="55">
        <v>0</v>
      </c>
      <c r="M37" s="55">
        <v>0</v>
      </c>
      <c r="N37" s="19"/>
    </row>
    <row r="38" spans="1:14" s="20" customFormat="1" ht="15.75">
      <c r="A38" s="67" t="s">
        <v>83</v>
      </c>
      <c r="B38" s="51">
        <v>87377</v>
      </c>
      <c r="C38" s="55">
        <f t="shared" si="10"/>
        <v>94589</v>
      </c>
      <c r="D38" s="55">
        <f>39728-787</f>
        <v>38941</v>
      </c>
      <c r="E38" s="55">
        <f aca="true" t="shared" si="11" ref="E38:E50">SUM(F38:M38)</f>
        <v>55648</v>
      </c>
      <c r="F38" s="55">
        <f>3872+59+620-81</f>
        <v>4470</v>
      </c>
      <c r="G38" s="55">
        <f>5019+459-105</f>
        <v>5373</v>
      </c>
      <c r="H38" s="55">
        <f>11734+483-246</f>
        <v>11971</v>
      </c>
      <c r="I38" s="55">
        <f>6856+312-144</f>
        <v>7024</v>
      </c>
      <c r="J38" s="55">
        <f>3754+350-79</f>
        <v>4025</v>
      </c>
      <c r="K38" s="55">
        <f>7843+350-165</f>
        <v>8028</v>
      </c>
      <c r="L38" s="55">
        <f>8839+480-186</f>
        <v>9133</v>
      </c>
      <c r="M38" s="55">
        <f>4749+575+400-100</f>
        <v>5624</v>
      </c>
      <c r="N38" s="19"/>
    </row>
    <row r="39" spans="1:14" s="20" customFormat="1" ht="15.75">
      <c r="A39" s="67" t="s">
        <v>101</v>
      </c>
      <c r="B39" s="51"/>
      <c r="C39" s="51">
        <f t="shared" si="10"/>
        <v>15596</v>
      </c>
      <c r="D39" s="51">
        <f>16115-519</f>
        <v>15596</v>
      </c>
      <c r="E39" s="55">
        <f t="shared" si="11"/>
        <v>0</v>
      </c>
      <c r="F39" s="55"/>
      <c r="G39" s="55"/>
      <c r="H39" s="55"/>
      <c r="I39" s="55"/>
      <c r="J39" s="55"/>
      <c r="K39" s="55"/>
      <c r="L39" s="55"/>
      <c r="M39" s="55"/>
      <c r="N39" s="19"/>
    </row>
    <row r="40" spans="1:14" s="20" customFormat="1" ht="15.75">
      <c r="A40" s="67" t="s">
        <v>126</v>
      </c>
      <c r="B40" s="51"/>
      <c r="C40" s="51">
        <f t="shared" si="10"/>
        <v>21509</v>
      </c>
      <c r="D40" s="51">
        <f>11949-595</f>
        <v>11354</v>
      </c>
      <c r="E40" s="55">
        <f t="shared" si="11"/>
        <v>10155</v>
      </c>
      <c r="F40" s="55">
        <f>238+988-21-5</f>
        <v>1200</v>
      </c>
      <c r="G40" s="55">
        <f>770+241-16-5</f>
        <v>990</v>
      </c>
      <c r="H40" s="55">
        <f>1716+536-37-12</f>
        <v>2203</v>
      </c>
      <c r="I40" s="55">
        <f>1025+316-22-7</f>
        <v>1312</v>
      </c>
      <c r="J40" s="55">
        <f>477+165-10-4</f>
        <v>628</v>
      </c>
      <c r="K40" s="55">
        <f>1226+368-26-8</f>
        <v>1560</v>
      </c>
      <c r="L40" s="55">
        <f>1206+375-26-8</f>
        <v>1547</v>
      </c>
      <c r="M40" s="55">
        <f>557+174-12-4</f>
        <v>715</v>
      </c>
      <c r="N40" s="19"/>
    </row>
    <row r="41" spans="1:14" s="20" customFormat="1" ht="15.75">
      <c r="A41" s="67" t="s">
        <v>84</v>
      </c>
      <c r="B41" s="51"/>
      <c r="C41" s="51">
        <f t="shared" si="10"/>
        <v>10887</v>
      </c>
      <c r="D41" s="51">
        <f>8590-361</f>
        <v>8229</v>
      </c>
      <c r="E41" s="55">
        <f t="shared" si="11"/>
        <v>2658</v>
      </c>
      <c r="F41" s="55">
        <f>349-7</f>
        <v>342</v>
      </c>
      <c r="G41" s="55">
        <f>268-6</f>
        <v>262</v>
      </c>
      <c r="H41" s="55">
        <f>574-12</f>
        <v>562</v>
      </c>
      <c r="I41" s="55">
        <f>350-7</f>
        <v>343</v>
      </c>
      <c r="J41" s="55">
        <f>162-3</f>
        <v>159</v>
      </c>
      <c r="K41" s="55">
        <f>403-8</f>
        <v>395</v>
      </c>
      <c r="L41" s="55">
        <f>410-9</f>
        <v>401</v>
      </c>
      <c r="M41" s="55">
        <f>198-4</f>
        <v>194</v>
      </c>
      <c r="N41" s="19"/>
    </row>
    <row r="42" spans="1:14" s="20" customFormat="1" ht="15.75">
      <c r="A42" s="67" t="s">
        <v>85</v>
      </c>
      <c r="B42" s="51"/>
      <c r="C42" s="51">
        <f t="shared" si="10"/>
        <v>20910</v>
      </c>
      <c r="D42" s="51">
        <f>12510-56</f>
        <v>12454</v>
      </c>
      <c r="E42" s="55">
        <f t="shared" si="11"/>
        <v>8456</v>
      </c>
      <c r="F42" s="55">
        <v>513</v>
      </c>
      <c r="G42" s="55">
        <v>769</v>
      </c>
      <c r="H42" s="55">
        <v>2594</v>
      </c>
      <c r="I42" s="55">
        <v>1022</v>
      </c>
      <c r="J42" s="55">
        <f>477</f>
        <v>477</v>
      </c>
      <c r="K42" s="55">
        <v>1290</v>
      </c>
      <c r="L42" s="55">
        <v>1205</v>
      </c>
      <c r="M42" s="55">
        <v>586</v>
      </c>
      <c r="N42" s="19"/>
    </row>
    <row r="43" spans="1:14" s="20" customFormat="1" ht="15.75">
      <c r="A43" s="67" t="s">
        <v>86</v>
      </c>
      <c r="B43" s="51">
        <v>246758</v>
      </c>
      <c r="C43" s="51">
        <f t="shared" si="10"/>
        <v>257179</v>
      </c>
      <c r="D43" s="51">
        <f>SUM(D44:D47)</f>
        <v>90096</v>
      </c>
      <c r="E43" s="55">
        <f t="shared" si="11"/>
        <v>167083</v>
      </c>
      <c r="F43" s="55">
        <f>16720+200-351</f>
        <v>16569</v>
      </c>
      <c r="G43" s="55">
        <f>20066+172+300-421</f>
        <v>20117</v>
      </c>
      <c r="H43" s="55">
        <f>25677+800-539</f>
        <v>25938</v>
      </c>
      <c r="I43" s="55">
        <f>23098+43+800-485</f>
        <v>23456</v>
      </c>
      <c r="J43" s="55">
        <f>14264-300</f>
        <v>13964</v>
      </c>
      <c r="K43" s="55">
        <f>26192+300+1600-550</f>
        <v>27542</v>
      </c>
      <c r="L43" s="55">
        <f>22408+43+774-471</f>
        <v>22754</v>
      </c>
      <c r="M43" s="55">
        <f>16769+26+300-352</f>
        <v>16743</v>
      </c>
      <c r="N43" s="19"/>
    </row>
    <row r="44" spans="1:14" s="21" customFormat="1" ht="15.75" customHeight="1">
      <c r="A44" s="91" t="s">
        <v>87</v>
      </c>
      <c r="B44" s="88"/>
      <c r="C44" s="51">
        <f t="shared" si="10"/>
        <v>51637</v>
      </c>
      <c r="D44" s="51">
        <f>53315-1678</f>
        <v>51637</v>
      </c>
      <c r="E44" s="55">
        <f t="shared" si="11"/>
        <v>0</v>
      </c>
      <c r="F44" s="55"/>
      <c r="G44" s="55"/>
      <c r="H44" s="55"/>
      <c r="I44" s="55"/>
      <c r="J44" s="55"/>
      <c r="K44" s="55"/>
      <c r="L44" s="55"/>
      <c r="M44" s="55"/>
      <c r="N44" s="19"/>
    </row>
    <row r="45" spans="1:14" s="23" customFormat="1" ht="15.75" customHeight="1">
      <c r="A45" s="92" t="s">
        <v>88</v>
      </c>
      <c r="B45" s="93"/>
      <c r="C45" s="51">
        <f t="shared" si="10"/>
        <v>24168</v>
      </c>
      <c r="D45" s="51">
        <f>21102+3828+135-897</f>
        <v>24168</v>
      </c>
      <c r="E45" s="55">
        <f t="shared" si="11"/>
        <v>0</v>
      </c>
      <c r="F45" s="55"/>
      <c r="G45" s="55"/>
      <c r="H45" s="55"/>
      <c r="I45" s="55"/>
      <c r="J45" s="55"/>
      <c r="K45" s="55"/>
      <c r="L45" s="55"/>
      <c r="M45" s="55"/>
      <c r="N45" s="22"/>
    </row>
    <row r="46" spans="1:14" s="23" customFormat="1" ht="15.75">
      <c r="A46" s="92" t="s">
        <v>119</v>
      </c>
      <c r="B46" s="93"/>
      <c r="C46" s="51">
        <f t="shared" si="10"/>
        <v>10192</v>
      </c>
      <c r="D46" s="51">
        <f>10557-365</f>
        <v>10192</v>
      </c>
      <c r="E46" s="55">
        <v>0</v>
      </c>
      <c r="F46" s="55"/>
      <c r="G46" s="55"/>
      <c r="H46" s="55"/>
      <c r="I46" s="55"/>
      <c r="J46" s="55"/>
      <c r="K46" s="55"/>
      <c r="L46" s="55"/>
      <c r="M46" s="55"/>
      <c r="N46" s="22"/>
    </row>
    <row r="47" spans="1:14" s="21" customFormat="1" ht="15.75">
      <c r="A47" s="91" t="s">
        <v>121</v>
      </c>
      <c r="B47" s="88"/>
      <c r="C47" s="51">
        <f t="shared" si="10"/>
        <v>4099</v>
      </c>
      <c r="D47" s="51">
        <f>4170-71</f>
        <v>4099</v>
      </c>
      <c r="E47" s="55">
        <f t="shared" si="11"/>
        <v>0</v>
      </c>
      <c r="F47" s="55"/>
      <c r="G47" s="55"/>
      <c r="H47" s="55"/>
      <c r="I47" s="55"/>
      <c r="J47" s="55"/>
      <c r="K47" s="55"/>
      <c r="L47" s="55"/>
      <c r="M47" s="55"/>
      <c r="N47" s="19"/>
    </row>
    <row r="48" spans="1:14" s="20" customFormat="1" ht="15.75">
      <c r="A48" s="67" t="s">
        <v>89</v>
      </c>
      <c r="B48" s="51">
        <v>30487</v>
      </c>
      <c r="C48" s="51">
        <f t="shared" si="10"/>
        <v>33132</v>
      </c>
      <c r="D48" s="51">
        <f>D49+D50</f>
        <v>8957</v>
      </c>
      <c r="E48" s="55">
        <f t="shared" si="11"/>
        <v>24175</v>
      </c>
      <c r="F48" s="55">
        <f aca="true" t="shared" si="12" ref="F48:M48">F49+F50</f>
        <v>1868</v>
      </c>
      <c r="G48" s="55">
        <f t="shared" si="12"/>
        <v>3906</v>
      </c>
      <c r="H48" s="55">
        <f t="shared" si="12"/>
        <v>4197</v>
      </c>
      <c r="I48" s="55">
        <f t="shared" si="12"/>
        <v>4656</v>
      </c>
      <c r="J48" s="55">
        <f t="shared" si="12"/>
        <v>2935</v>
      </c>
      <c r="K48" s="55">
        <f t="shared" si="12"/>
        <v>2253</v>
      </c>
      <c r="L48" s="55">
        <f t="shared" si="12"/>
        <v>3398</v>
      </c>
      <c r="M48" s="55">
        <f t="shared" si="12"/>
        <v>962</v>
      </c>
      <c r="N48" s="19"/>
    </row>
    <row r="49" spans="1:14" s="21" customFormat="1" ht="15.75">
      <c r="A49" s="91" t="s">
        <v>90</v>
      </c>
      <c r="B49" s="88"/>
      <c r="C49" s="51">
        <f t="shared" si="10"/>
        <v>8996</v>
      </c>
      <c r="D49" s="51">
        <f>1000</f>
        <v>1000</v>
      </c>
      <c r="E49" s="55">
        <f t="shared" si="11"/>
        <v>7996</v>
      </c>
      <c r="F49" s="55">
        <f>411-25</f>
        <v>386</v>
      </c>
      <c r="G49" s="55">
        <f>1074-45</f>
        <v>1029</v>
      </c>
      <c r="H49" s="55">
        <f>1665-100</f>
        <v>1565</v>
      </c>
      <c r="I49" s="55">
        <f>1804-108</f>
        <v>1696</v>
      </c>
      <c r="J49" s="55">
        <f>1085-39</f>
        <v>1046</v>
      </c>
      <c r="K49" s="55">
        <f>1049-18</f>
        <v>1031</v>
      </c>
      <c r="L49" s="55">
        <f>934-56</f>
        <v>878</v>
      </c>
      <c r="M49" s="55">
        <f>388-23</f>
        <v>365</v>
      </c>
      <c r="N49" s="19"/>
    </row>
    <row r="50" spans="1:14" s="21" customFormat="1" ht="15.75">
      <c r="A50" s="91" t="s">
        <v>91</v>
      </c>
      <c r="B50" s="88"/>
      <c r="C50" s="51">
        <f t="shared" si="10"/>
        <v>24136</v>
      </c>
      <c r="D50" s="51">
        <f>7124+900-67</f>
        <v>7957</v>
      </c>
      <c r="E50" s="55">
        <f t="shared" si="11"/>
        <v>16179</v>
      </c>
      <c r="F50" s="55">
        <f>623+880-21</f>
        <v>1482</v>
      </c>
      <c r="G50" s="55">
        <f>1959+240+176+600-98</f>
        <v>2877</v>
      </c>
      <c r="H50" s="55">
        <f>2800-168</f>
        <v>2632</v>
      </c>
      <c r="I50" s="55">
        <f>2669+279+172-160</f>
        <v>2960</v>
      </c>
      <c r="J50" s="55">
        <f>1245+693-49</f>
        <v>1889</v>
      </c>
      <c r="K50" s="55">
        <f>1252-30</f>
        <v>1222</v>
      </c>
      <c r="L50" s="55">
        <f>1994+646-120</f>
        <v>2520</v>
      </c>
      <c r="M50" s="55">
        <f>635-38</f>
        <v>597</v>
      </c>
      <c r="N50" s="19"/>
    </row>
    <row r="51" spans="1:14" s="20" customFormat="1" ht="14.25" customHeight="1">
      <c r="A51" s="67" t="s">
        <v>92</v>
      </c>
      <c r="B51" s="51">
        <v>24479</v>
      </c>
      <c r="C51" s="51">
        <f>D51+E51</f>
        <v>68700</v>
      </c>
      <c r="D51" s="51">
        <f>15782+14840+3800-300</f>
        <v>34122</v>
      </c>
      <c r="E51" s="51">
        <f>SUM(F51:M51)</f>
        <v>34578</v>
      </c>
      <c r="F51" s="51">
        <f>334+2361-20-75-43-212-400-125</f>
        <v>1820</v>
      </c>
      <c r="G51" s="51">
        <f>1715+7192-103+397-220-2000-656+300</f>
        <v>6625</v>
      </c>
      <c r="H51" s="51">
        <f>1131-113-329+443</f>
        <v>1132</v>
      </c>
      <c r="I51" s="51">
        <f>1957+6886-119+344-287-100-584</f>
        <v>8097</v>
      </c>
      <c r="J51" s="51">
        <f>1607-500-45+221+324</f>
        <v>1607</v>
      </c>
      <c r="K51" s="51">
        <f>1192+7843-59+271-48-334-300-568</f>
        <v>7997</v>
      </c>
      <c r="L51" s="51">
        <f>464+3905-35+219-12-341-400-554</f>
        <v>3246</v>
      </c>
      <c r="M51" s="51">
        <f>298+3501-17+69-158+600-239</f>
        <v>4054</v>
      </c>
      <c r="N51" s="19"/>
    </row>
    <row r="52" spans="1:14" s="10" customFormat="1" ht="31.5">
      <c r="A52" s="69" t="s">
        <v>141</v>
      </c>
      <c r="B52" s="56"/>
      <c r="C52" s="56">
        <f t="shared" si="10"/>
        <v>0</v>
      </c>
      <c r="D52" s="56">
        <v>0</v>
      </c>
      <c r="E52" s="57">
        <f aca="true" t="shared" si="13" ref="E52:E64">SUM(F52:M52)</f>
        <v>0</v>
      </c>
      <c r="F52" s="57"/>
      <c r="G52" s="57"/>
      <c r="H52" s="57"/>
      <c r="I52" s="57"/>
      <c r="J52" s="57"/>
      <c r="K52" s="57"/>
      <c r="L52" s="57"/>
      <c r="M52" s="57"/>
      <c r="N52" s="13"/>
    </row>
    <row r="53" spans="1:13" s="13" customFormat="1" ht="15.75">
      <c r="A53" s="64" t="s">
        <v>93</v>
      </c>
      <c r="B53" s="50">
        <v>1000</v>
      </c>
      <c r="C53" s="56">
        <f t="shared" si="10"/>
        <v>1000</v>
      </c>
      <c r="D53" s="50">
        <v>1000</v>
      </c>
      <c r="E53" s="57">
        <f t="shared" si="13"/>
        <v>0</v>
      </c>
      <c r="F53" s="58"/>
      <c r="G53" s="58"/>
      <c r="H53" s="58"/>
      <c r="I53" s="58"/>
      <c r="J53" s="58"/>
      <c r="K53" s="58"/>
      <c r="L53" s="58"/>
      <c r="M53" s="58"/>
    </row>
    <row r="54" spans="1:13" s="13" customFormat="1" ht="15.75">
      <c r="A54" s="64" t="s">
        <v>94</v>
      </c>
      <c r="B54" s="50">
        <v>79526</v>
      </c>
      <c r="C54" s="56" t="e">
        <f t="shared" si="10"/>
        <v>#REF!</v>
      </c>
      <c r="D54" s="50">
        <f>64355+37899</f>
        <v>102254</v>
      </c>
      <c r="E54" s="57" t="e">
        <f t="shared" si="13"/>
        <v>#REF!</v>
      </c>
      <c r="F54" s="58" t="e">
        <f>#REF!</f>
        <v>#REF!</v>
      </c>
      <c r="G54" s="58" t="e">
        <f>#REF!</f>
        <v>#REF!</v>
      </c>
      <c r="H54" s="58" t="e">
        <f>#REF!</f>
        <v>#REF!</v>
      </c>
      <c r="I54" s="58" t="e">
        <f>#REF!</f>
        <v>#REF!</v>
      </c>
      <c r="J54" s="58" t="e">
        <f>#REF!</f>
        <v>#REF!</v>
      </c>
      <c r="K54" s="58" t="e">
        <f>#REF!</f>
        <v>#REF!</v>
      </c>
      <c r="L54" s="58" t="e">
        <f>#REF!</f>
        <v>#REF!</v>
      </c>
      <c r="M54" s="58" t="e">
        <f>#REF!</f>
        <v>#REF!</v>
      </c>
    </row>
    <row r="55" spans="1:13" s="13" customFormat="1" ht="15.75">
      <c r="A55" s="64" t="s">
        <v>95</v>
      </c>
      <c r="B55" s="50"/>
      <c r="C55" s="56">
        <f>D55+E55</f>
        <v>30652</v>
      </c>
      <c r="D55" s="50">
        <v>30652</v>
      </c>
      <c r="E55" s="57">
        <f t="shared" si="13"/>
        <v>0</v>
      </c>
      <c r="F55" s="58"/>
      <c r="G55" s="58"/>
      <c r="H55" s="58"/>
      <c r="I55" s="58"/>
      <c r="J55" s="58"/>
      <c r="K55" s="58"/>
      <c r="L55" s="58"/>
      <c r="M55" s="58"/>
    </row>
    <row r="56" spans="1:13" s="13" customFormat="1" ht="15.75">
      <c r="A56" s="64" t="s">
        <v>96</v>
      </c>
      <c r="B56" s="50">
        <v>37072</v>
      </c>
      <c r="C56" s="56">
        <f>D56+E56</f>
        <v>62014</v>
      </c>
      <c r="D56" s="50">
        <f>16792+8624</f>
        <v>25416</v>
      </c>
      <c r="E56" s="57">
        <f t="shared" si="13"/>
        <v>36598</v>
      </c>
      <c r="F56" s="58">
        <f>1782+1231+388</f>
        <v>3401</v>
      </c>
      <c r="G56" s="58">
        <f>2300+1731+500</f>
        <v>4531</v>
      </c>
      <c r="H56" s="58">
        <f>4475+2907+1148-35-1200-283</f>
        <v>7012</v>
      </c>
      <c r="I56" s="58">
        <f>2652+1951+556</f>
        <v>5159</v>
      </c>
      <c r="J56" s="58">
        <f>1539+995+304-360</f>
        <v>2478</v>
      </c>
      <c r="K56" s="58">
        <f>3000+1770+665</f>
        <v>5435</v>
      </c>
      <c r="L56" s="58">
        <f>2887+1923+710</f>
        <v>5520</v>
      </c>
      <c r="M56" s="58">
        <f>1645+1073+344</f>
        <v>3062</v>
      </c>
    </row>
    <row r="57" spans="1:13" s="13" customFormat="1" ht="15.75">
      <c r="A57" s="70" t="s">
        <v>97</v>
      </c>
      <c r="B57" s="71"/>
      <c r="C57" s="56">
        <f>D57+E57</f>
        <v>147259</v>
      </c>
      <c r="D57" s="50">
        <f>69076</f>
        <v>69076</v>
      </c>
      <c r="E57" s="57">
        <f t="shared" si="13"/>
        <v>78183</v>
      </c>
      <c r="F57" s="57">
        <v>6936</v>
      </c>
      <c r="G57" s="57">
        <v>5723</v>
      </c>
      <c r="H57" s="57">
        <f>24192-443-487</f>
        <v>23262</v>
      </c>
      <c r="I57" s="57">
        <v>10214</v>
      </c>
      <c r="J57" s="57">
        <f>7488-24-151</f>
        <v>7313</v>
      </c>
      <c r="K57" s="57">
        <v>13010</v>
      </c>
      <c r="L57" s="57">
        <v>8562</v>
      </c>
      <c r="M57" s="57">
        <v>3163</v>
      </c>
    </row>
    <row r="58" spans="1:13" s="13" customFormat="1" ht="15.75">
      <c r="A58" s="64" t="s">
        <v>98</v>
      </c>
      <c r="B58" s="50">
        <v>148000</v>
      </c>
      <c r="C58" s="50">
        <f>SUM(C59:C64)</f>
        <v>133000</v>
      </c>
      <c r="D58" s="50">
        <f>SUM(D59:D64)</f>
        <v>91600</v>
      </c>
      <c r="E58" s="57">
        <f t="shared" si="13"/>
        <v>41400</v>
      </c>
      <c r="F58" s="58">
        <f aca="true" t="shared" si="14" ref="F58:M58">SUM(F59:F64)</f>
        <v>3000</v>
      </c>
      <c r="G58" s="58">
        <f t="shared" si="14"/>
        <v>4200</v>
      </c>
      <c r="H58" s="58">
        <f t="shared" si="14"/>
        <v>8200</v>
      </c>
      <c r="I58" s="58">
        <f t="shared" si="14"/>
        <v>6000</v>
      </c>
      <c r="J58" s="58">
        <f t="shared" si="14"/>
        <v>2200</v>
      </c>
      <c r="K58" s="58">
        <f t="shared" si="14"/>
        <v>5400</v>
      </c>
      <c r="L58" s="58">
        <f t="shared" si="14"/>
        <v>8200</v>
      </c>
      <c r="M58" s="58">
        <f t="shared" si="14"/>
        <v>4200</v>
      </c>
    </row>
    <row r="59" spans="1:13" s="13" customFormat="1" ht="15.75">
      <c r="A59" s="94" t="s">
        <v>110</v>
      </c>
      <c r="B59" s="72"/>
      <c r="C59" s="51">
        <f aca="true" t="shared" si="15" ref="C59:C64">D59+E59</f>
        <v>50000</v>
      </c>
      <c r="D59" s="59">
        <f>'Bang bieu 1(DU TOAN THU)'!C92</f>
        <v>50000</v>
      </c>
      <c r="E59" s="60">
        <f t="shared" si="13"/>
        <v>0</v>
      </c>
      <c r="F59" s="55">
        <f>'Bang bieu 1(DU TOAN THU)'!E92</f>
        <v>0</v>
      </c>
      <c r="G59" s="55">
        <f>'Bang bieu 1(DU TOAN THU)'!F92</f>
        <v>0</v>
      </c>
      <c r="H59" s="55">
        <f>'Bang bieu 1(DU TOAN THU)'!G92</f>
        <v>0</v>
      </c>
      <c r="I59" s="55">
        <f>'Bang bieu 1(DU TOAN THU)'!H92</f>
        <v>0</v>
      </c>
      <c r="J59" s="55">
        <f>'Bang bieu 1(DU TOAN THU)'!I92</f>
        <v>0</v>
      </c>
      <c r="K59" s="55">
        <f>'Bang bieu 1(DU TOAN THU)'!J92</f>
        <v>0</v>
      </c>
      <c r="L59" s="55">
        <f>'Bang bieu 1(DU TOAN THU)'!K92</f>
        <v>0</v>
      </c>
      <c r="M59" s="55">
        <f>'Bang bieu 1(DU TOAN THU)'!L92</f>
        <v>0</v>
      </c>
    </row>
    <row r="60" spans="1:14" s="17" customFormat="1" ht="15.75">
      <c r="A60" s="94" t="s">
        <v>111</v>
      </c>
      <c r="B60" s="72"/>
      <c r="C60" s="51">
        <f t="shared" si="15"/>
        <v>12000</v>
      </c>
      <c r="D60" s="59">
        <f>'Bang bieu 1(DU TOAN THU)'!C93</f>
        <v>4250</v>
      </c>
      <c r="E60" s="60">
        <f t="shared" si="13"/>
        <v>7750</v>
      </c>
      <c r="F60" s="55">
        <f>'Bang bieu 1(DU TOAN THU)'!E93</f>
        <v>1000</v>
      </c>
      <c r="G60" s="55">
        <f>'Bang bieu 1(DU TOAN THU)'!F93</f>
        <v>1500</v>
      </c>
      <c r="H60" s="55">
        <f>'Bang bieu 1(DU TOAN THU)'!G93</f>
        <v>1300</v>
      </c>
      <c r="I60" s="55">
        <f>'Bang bieu 1(DU TOAN THU)'!H93</f>
        <v>1200</v>
      </c>
      <c r="J60" s="55">
        <f>'Bang bieu 1(DU TOAN THU)'!I93</f>
        <v>350</v>
      </c>
      <c r="K60" s="55">
        <f>'Bang bieu 1(DU TOAN THU)'!J93</f>
        <v>750</v>
      </c>
      <c r="L60" s="55">
        <f>'Bang bieu 1(DU TOAN THU)'!K93</f>
        <v>1000</v>
      </c>
      <c r="M60" s="55">
        <f>'Bang bieu 1(DU TOAN THU)'!L93</f>
        <v>650</v>
      </c>
      <c r="N60" s="13"/>
    </row>
    <row r="61" spans="1:14" s="17" customFormat="1" ht="15.75">
      <c r="A61" s="94" t="s">
        <v>112</v>
      </c>
      <c r="B61" s="72"/>
      <c r="C61" s="51">
        <f t="shared" si="15"/>
        <v>24000</v>
      </c>
      <c r="D61" s="59">
        <f>'Bang bieu 1(DU TOAN THU)'!C94</f>
        <v>11000</v>
      </c>
      <c r="E61" s="60">
        <f t="shared" si="13"/>
        <v>13000</v>
      </c>
      <c r="F61" s="55">
        <f>'Bang bieu 1(DU TOAN THU)'!E94</f>
        <v>400</v>
      </c>
      <c r="G61" s="55">
        <f>'Bang bieu 1(DU TOAN THU)'!F94</f>
        <v>200</v>
      </c>
      <c r="H61" s="55">
        <f>'Bang bieu 1(DU TOAN THU)'!G94</f>
        <v>2500</v>
      </c>
      <c r="I61" s="55">
        <f>'Bang bieu 1(DU TOAN THU)'!H94</f>
        <v>2000</v>
      </c>
      <c r="J61" s="55">
        <f>'Bang bieu 1(DU TOAN THU)'!I94</f>
        <v>500</v>
      </c>
      <c r="K61" s="55">
        <f>'Bang bieu 1(DU TOAN THU)'!J94</f>
        <v>1900</v>
      </c>
      <c r="L61" s="55">
        <f>'Bang bieu 1(DU TOAN THU)'!K94</f>
        <v>4000</v>
      </c>
      <c r="M61" s="55">
        <f>'Bang bieu 1(DU TOAN THU)'!L94</f>
        <v>1500</v>
      </c>
      <c r="N61" s="13"/>
    </row>
    <row r="62" spans="1:14" s="17" customFormat="1" ht="15.75">
      <c r="A62" s="94" t="s">
        <v>62</v>
      </c>
      <c r="B62" s="72"/>
      <c r="C62" s="51">
        <f t="shared" si="15"/>
        <v>10000</v>
      </c>
      <c r="D62" s="59">
        <f>'Bang bieu 1(DU TOAN THU)'!C95</f>
        <v>0</v>
      </c>
      <c r="E62" s="60">
        <f t="shared" si="13"/>
        <v>10000</v>
      </c>
      <c r="F62" s="55">
        <f>'Bang bieu 1(DU TOAN THU)'!E95</f>
        <v>800</v>
      </c>
      <c r="G62" s="55">
        <f>'Bang bieu 1(DU TOAN THU)'!F95</f>
        <v>1000</v>
      </c>
      <c r="H62" s="55">
        <f>'Bang bieu 1(DU TOAN THU)'!G95</f>
        <v>3000</v>
      </c>
      <c r="I62" s="55">
        <f>'Bang bieu 1(DU TOAN THU)'!H95</f>
        <v>1500</v>
      </c>
      <c r="J62" s="55">
        <f>'Bang bieu 1(DU TOAN THU)'!I95</f>
        <v>600</v>
      </c>
      <c r="K62" s="55">
        <f>'Bang bieu 1(DU TOAN THU)'!J95</f>
        <v>1100</v>
      </c>
      <c r="L62" s="55">
        <f>'Bang bieu 1(DU TOAN THU)'!K95</f>
        <v>1000</v>
      </c>
      <c r="M62" s="55">
        <f>'Bang bieu 1(DU TOAN THU)'!L95</f>
        <v>1000</v>
      </c>
      <c r="N62" s="13"/>
    </row>
    <row r="63" spans="1:14" s="17" customFormat="1" ht="15.75">
      <c r="A63" s="94" t="s">
        <v>113</v>
      </c>
      <c r="B63" s="72"/>
      <c r="C63" s="51">
        <f t="shared" si="15"/>
        <v>6500</v>
      </c>
      <c r="D63" s="59">
        <f>'Bang bieu 1(DU TOAN THU)'!C96</f>
        <v>4550</v>
      </c>
      <c r="E63" s="60">
        <f t="shared" si="13"/>
        <v>1950</v>
      </c>
      <c r="F63" s="55">
        <f>'Bang bieu 1(DU TOAN THU)'!E96</f>
        <v>450</v>
      </c>
      <c r="G63" s="55">
        <f>'Bang bieu 1(DU TOAN THU)'!F96</f>
        <v>80</v>
      </c>
      <c r="H63" s="55">
        <f>'Bang bieu 1(DU TOAN THU)'!G96</f>
        <v>450</v>
      </c>
      <c r="I63" s="55">
        <f>'Bang bieu 1(DU TOAN THU)'!H96</f>
        <v>130</v>
      </c>
      <c r="J63" s="55">
        <f>'Bang bieu 1(DU TOAN THU)'!I96</f>
        <v>170</v>
      </c>
      <c r="K63" s="55">
        <f>'Bang bieu 1(DU TOAN THU)'!J96</f>
        <v>250</v>
      </c>
      <c r="L63" s="55">
        <f>'Bang bieu 1(DU TOAN THU)'!K96</f>
        <v>350</v>
      </c>
      <c r="M63" s="55">
        <f>'Bang bieu 1(DU TOAN THU)'!L96</f>
        <v>70</v>
      </c>
      <c r="N63" s="13"/>
    </row>
    <row r="64" spans="1:14" s="17" customFormat="1" ht="18.75" customHeight="1">
      <c r="A64" s="95" t="s">
        <v>114</v>
      </c>
      <c r="B64" s="73"/>
      <c r="C64" s="61">
        <f t="shared" si="15"/>
        <v>30500</v>
      </c>
      <c r="D64" s="61">
        <f>'Bang bieu 1(DU TOAN THU)'!C97</f>
        <v>21800</v>
      </c>
      <c r="E64" s="61">
        <f t="shared" si="13"/>
        <v>8700</v>
      </c>
      <c r="F64" s="62">
        <f>'Bang bieu 1(DU TOAN THU)'!E97</f>
        <v>350</v>
      </c>
      <c r="G64" s="62">
        <f>'Bang bieu 1(DU TOAN THU)'!F97</f>
        <v>1420</v>
      </c>
      <c r="H64" s="62">
        <f>'Bang bieu 1(DU TOAN THU)'!G97</f>
        <v>950</v>
      </c>
      <c r="I64" s="62">
        <f>'Bang bieu 1(DU TOAN THU)'!H97</f>
        <v>1170</v>
      </c>
      <c r="J64" s="62">
        <f>'Bang bieu 1(DU TOAN THU)'!I97</f>
        <v>580</v>
      </c>
      <c r="K64" s="62">
        <f>'Bang bieu 1(DU TOAN THU)'!J97</f>
        <v>1400</v>
      </c>
      <c r="L64" s="62">
        <f>'Bang bieu 1(DU TOAN THU)'!K97</f>
        <v>1850</v>
      </c>
      <c r="M64" s="62">
        <f>'Bang bieu 1(DU TOAN THU)'!L97</f>
        <v>980</v>
      </c>
      <c r="N64" s="13"/>
    </row>
    <row r="65" s="17" customFormat="1" ht="15.75"/>
    <row r="66" spans="1:13" s="17" customFormat="1" ht="18.75" customHeight="1">
      <c r="A66" s="121"/>
      <c r="B66" s="121"/>
      <c r="C66" s="122"/>
      <c r="D66" s="122"/>
      <c r="E66" s="122"/>
      <c r="F66" s="122"/>
      <c r="G66" s="122"/>
      <c r="H66" s="122"/>
      <c r="I66" s="122"/>
      <c r="J66" s="122"/>
      <c r="K66" s="122"/>
      <c r="L66" s="122"/>
      <c r="M66" s="122"/>
    </row>
    <row r="67" s="17" customFormat="1" ht="15.75">
      <c r="C67" s="11"/>
    </row>
    <row r="68" s="17" customFormat="1" ht="15.75">
      <c r="C68" s="11"/>
    </row>
    <row r="69" s="17" customFormat="1" ht="15.75">
      <c r="C69" s="11"/>
    </row>
    <row r="70" s="17" customFormat="1" ht="15.75" hidden="1">
      <c r="C70" s="11"/>
    </row>
    <row r="71" s="17" customFormat="1" ht="15.75" hidden="1">
      <c r="C71" s="11"/>
    </row>
    <row r="72" s="17" customFormat="1" ht="19.5" customHeight="1" hidden="1">
      <c r="C72" s="24"/>
    </row>
    <row r="73" spans="3:13" s="17" customFormat="1" ht="15.75" hidden="1">
      <c r="C73" s="25">
        <v>572600</v>
      </c>
      <c r="D73" s="17">
        <f aca="true" t="shared" si="16" ref="D73:M73">D64/D10*100</f>
        <v>1.9843744168624493</v>
      </c>
      <c r="E73" s="17" t="e">
        <f t="shared" si="16"/>
        <v>#REF!</v>
      </c>
      <c r="F73" s="17" t="e">
        <f t="shared" si="16"/>
        <v>#REF!</v>
      </c>
      <c r="G73" s="17" t="e">
        <f t="shared" si="16"/>
        <v>#REF!</v>
      </c>
      <c r="H73" s="17" t="e">
        <f t="shared" si="16"/>
        <v>#REF!</v>
      </c>
      <c r="I73" s="17" t="e">
        <f t="shared" si="16"/>
        <v>#REF!</v>
      </c>
      <c r="J73" s="17" t="e">
        <f t="shared" si="16"/>
        <v>#REF!</v>
      </c>
      <c r="K73" s="17" t="e">
        <f t="shared" si="16"/>
        <v>#REF!</v>
      </c>
      <c r="L73" s="17" t="e">
        <f t="shared" si="16"/>
        <v>#REF!</v>
      </c>
      <c r="M73" s="17" t="e">
        <f t="shared" si="16"/>
        <v>#REF!</v>
      </c>
    </row>
    <row r="74" spans="3:14" s="17" customFormat="1" ht="15.75" hidden="1">
      <c r="C74" s="17">
        <f>D74+E74</f>
        <v>506814</v>
      </c>
      <c r="D74" s="17">
        <v>211331</v>
      </c>
      <c r="E74" s="17">
        <f>254677+40806</f>
        <v>295483</v>
      </c>
      <c r="F74" s="17">
        <f>25093+2617+1000</f>
        <v>28710</v>
      </c>
      <c r="G74" s="17">
        <f>26691+3490+1000</f>
        <v>31181</v>
      </c>
      <c r="H74" s="17">
        <f>46567+9250+1100</f>
        <v>56917</v>
      </c>
      <c r="I74" s="17">
        <f>34186+5359+1000</f>
        <v>40545</v>
      </c>
      <c r="J74" s="17">
        <f>27737+2237+213</f>
        <v>30187</v>
      </c>
      <c r="K74" s="17">
        <f>35881+6433+1000</f>
        <v>43314</v>
      </c>
      <c r="L74" s="17">
        <f>35198+7079+1700</f>
        <v>43977</v>
      </c>
      <c r="M74" s="17">
        <f>23324+4342+700</f>
        <v>28366</v>
      </c>
      <c r="N74" s="17">
        <f>SUM(F74:M74)</f>
        <v>303197</v>
      </c>
    </row>
    <row r="75" spans="3:14" s="17" customFormat="1" ht="15.75" hidden="1">
      <c r="C75" s="17">
        <f>D75+E75</f>
        <v>572600</v>
      </c>
      <c r="D75" s="17">
        <v>238800</v>
      </c>
      <c r="E75" s="17">
        <v>333800</v>
      </c>
      <c r="F75" s="17">
        <v>31600</v>
      </c>
      <c r="G75" s="17">
        <v>34300</v>
      </c>
      <c r="H75" s="17">
        <v>62600</v>
      </c>
      <c r="I75" s="17">
        <f>I74*110%</f>
        <v>44599.5</v>
      </c>
      <c r="J75" s="17">
        <v>33200</v>
      </c>
      <c r="K75" s="17">
        <v>47700</v>
      </c>
      <c r="L75" s="17">
        <v>48500</v>
      </c>
      <c r="M75" s="17">
        <v>31300</v>
      </c>
      <c r="N75" s="17">
        <f>SUM(F75:M75)</f>
        <v>333799.5</v>
      </c>
    </row>
    <row r="76" spans="3:13" s="17" customFormat="1" ht="15.75" hidden="1">
      <c r="C76" s="17" t="e">
        <f aca="true" t="shared" si="17" ref="C76:M76">C75/C10*100</f>
        <v>#REF!</v>
      </c>
      <c r="D76" s="17">
        <f t="shared" si="17"/>
        <v>21.73709223608958</v>
      </c>
      <c r="E76" s="17" t="e">
        <f t="shared" si="17"/>
        <v>#REF!</v>
      </c>
      <c r="F76" s="17" t="e">
        <f t="shared" si="17"/>
        <v>#REF!</v>
      </c>
      <c r="G76" s="17" t="e">
        <f t="shared" si="17"/>
        <v>#REF!</v>
      </c>
      <c r="H76" s="17" t="e">
        <f t="shared" si="17"/>
        <v>#REF!</v>
      </c>
      <c r="I76" s="17" t="e">
        <f t="shared" si="17"/>
        <v>#REF!</v>
      </c>
      <c r="J76" s="17" t="e">
        <f t="shared" si="17"/>
        <v>#REF!</v>
      </c>
      <c r="K76" s="17" t="e">
        <f t="shared" si="17"/>
        <v>#REF!</v>
      </c>
      <c r="L76" s="17" t="e">
        <f t="shared" si="17"/>
        <v>#REF!</v>
      </c>
      <c r="M76" s="17" t="e">
        <f t="shared" si="17"/>
        <v>#REF!</v>
      </c>
    </row>
    <row r="77" s="17" customFormat="1" ht="15.75" hidden="1">
      <c r="C77" s="17">
        <v>560500</v>
      </c>
    </row>
    <row r="78" spans="3:7" s="17" customFormat="1" ht="15.75" hidden="1">
      <c r="C78" s="17" t="e">
        <f>C77/C10*100</f>
        <v>#REF!</v>
      </c>
      <c r="G78" s="26"/>
    </row>
    <row r="79" s="17" customFormat="1" ht="15.75" hidden="1"/>
    <row r="80" spans="5:13" s="17" customFormat="1" ht="15.75" hidden="1">
      <c r="E80" s="17">
        <f>SUM(F80:M80)</f>
        <v>3831</v>
      </c>
      <c r="F80" s="17">
        <f>'[1]PL6-B10 (3)'!C$22</f>
        <v>478</v>
      </c>
      <c r="G80" s="17">
        <f>'[1]PL6-B10 (3)'!D$22</f>
        <v>178</v>
      </c>
      <c r="H80" s="17">
        <f>'[1]PL6-B10 (3)'!E$22</f>
        <v>698</v>
      </c>
      <c r="I80" s="17">
        <f>'[1]PL6-B10 (3)'!F$22</f>
        <v>320</v>
      </c>
      <c r="J80" s="17">
        <f>'[1]PL6-B10 (3)'!G$22</f>
        <v>306</v>
      </c>
      <c r="K80" s="17">
        <f>'[1]PL6-B10 (3)'!H$22</f>
        <v>650</v>
      </c>
      <c r="L80" s="17">
        <f>'[1]PL6-B10 (3)'!I$22</f>
        <v>863</v>
      </c>
      <c r="M80" s="17">
        <f>'[1]PL6-B10 (3)'!J$22</f>
        <v>338</v>
      </c>
    </row>
    <row r="81" spans="5:13" s="17" customFormat="1" ht="15.75" hidden="1">
      <c r="E81" s="17">
        <f>SUM(F81:M81)</f>
        <v>3831</v>
      </c>
      <c r="F81" s="17">
        <f aca="true" t="shared" si="18" ref="F81:M81">F23+F80</f>
        <v>478</v>
      </c>
      <c r="G81" s="17">
        <f t="shared" si="18"/>
        <v>178</v>
      </c>
      <c r="H81" s="17">
        <f t="shared" si="18"/>
        <v>698</v>
      </c>
      <c r="I81" s="17">
        <f t="shared" si="18"/>
        <v>320</v>
      </c>
      <c r="J81" s="17">
        <f t="shared" si="18"/>
        <v>306</v>
      </c>
      <c r="K81" s="17">
        <f t="shared" si="18"/>
        <v>650</v>
      </c>
      <c r="L81" s="17">
        <f t="shared" si="18"/>
        <v>863</v>
      </c>
      <c r="M81" s="17">
        <f t="shared" si="18"/>
        <v>338</v>
      </c>
    </row>
    <row r="82" spans="5:13" s="17" customFormat="1" ht="15.75" hidden="1">
      <c r="E82" s="17">
        <f>SUM(F82:M82)</f>
        <v>9552.599999999999</v>
      </c>
      <c r="F82" s="17">
        <f aca="true" t="shared" si="19" ref="F82:M82">F30+F80*60%</f>
        <v>1187.8</v>
      </c>
      <c r="G82" s="17">
        <f t="shared" si="19"/>
        <v>920.8</v>
      </c>
      <c r="H82" s="17">
        <f t="shared" si="19"/>
        <v>2505.8</v>
      </c>
      <c r="I82" s="17">
        <f t="shared" si="19"/>
        <v>709</v>
      </c>
      <c r="J82" s="17">
        <f t="shared" si="19"/>
        <v>672.6</v>
      </c>
      <c r="K82" s="17">
        <f t="shared" si="19"/>
        <v>1534</v>
      </c>
      <c r="L82" s="17">
        <f t="shared" si="19"/>
        <v>1481.8</v>
      </c>
      <c r="M82" s="17">
        <f t="shared" si="19"/>
        <v>540.8</v>
      </c>
    </row>
    <row r="83" ht="18.75" hidden="1">
      <c r="C83" s="27"/>
    </row>
    <row r="84" ht="18.75" hidden="1">
      <c r="C84" s="8"/>
    </row>
    <row r="85" ht="16.5" hidden="1">
      <c r="C85" s="28"/>
    </row>
    <row r="86" ht="15.75" hidden="1"/>
    <row r="87" ht="15.75" hidden="1"/>
    <row r="88" ht="15.75" hidden="1"/>
    <row r="89" ht="15.75" hidden="1"/>
    <row r="90" ht="15.75" hidden="1"/>
    <row r="91" ht="15.75" hidden="1"/>
    <row r="92" ht="15.75" hidden="1"/>
    <row r="93" ht="15.75" hidden="1"/>
    <row r="94" ht="15.75" hidden="1"/>
    <row r="95" ht="15.75" hidden="1"/>
    <row r="96" ht="15.75" hidden="1"/>
    <row r="97" ht="15.75" hidden="1"/>
    <row r="98" ht="15.75" hidden="1"/>
    <row r="99" ht="15.75" hidden="1"/>
    <row r="100" ht="15.75" hidden="1"/>
    <row r="101" ht="15.75" hidden="1"/>
    <row r="102" ht="15.75" hidden="1"/>
    <row r="103" ht="15.75" hidden="1"/>
    <row r="104" ht="15.75" hidden="1"/>
    <row r="105" ht="15.75" hidden="1"/>
    <row r="106" ht="15.75" hidden="1"/>
    <row r="107" ht="15.75" hidden="1"/>
    <row r="108" ht="15.75" hidden="1"/>
    <row r="109" ht="15.75" hidden="1"/>
    <row r="110" ht="15.75" hidden="1"/>
    <row r="111" ht="15.75" hidden="1"/>
    <row r="112" ht="15.75" hidden="1"/>
    <row r="113" ht="15.75" hidden="1"/>
    <row r="114" ht="15.75" hidden="1"/>
    <row r="115" ht="15.75" hidden="1"/>
    <row r="116" ht="15.75" hidden="1"/>
    <row r="117" ht="15.75" hidden="1"/>
    <row r="118" ht="15.75" hidden="1"/>
    <row r="119" ht="15.75" hidden="1"/>
    <row r="120" ht="15.75" hidden="1"/>
    <row r="121" ht="15.75" hidden="1"/>
    <row r="122" ht="15.75" hidden="1"/>
    <row r="123" ht="15.75" hidden="1"/>
    <row r="124" ht="15.75" hidden="1"/>
    <row r="125" ht="15.75" hidden="1"/>
    <row r="126" ht="15.75" hidden="1"/>
    <row r="127" ht="15.75" hidden="1"/>
    <row r="128" ht="15.75" hidden="1"/>
    <row r="129" ht="15.75" hidden="1"/>
    <row r="130" ht="15.75" hidden="1"/>
    <row r="131" ht="15.75" hidden="1"/>
    <row r="132" ht="15.75" hidden="1"/>
    <row r="133" ht="15.75" hidden="1"/>
    <row r="134" ht="15.75" hidden="1"/>
    <row r="135" ht="15.75" hidden="1"/>
    <row r="136" ht="15.75" hidden="1"/>
  </sheetData>
  <mergeCells count="11">
    <mergeCell ref="A2:M2"/>
    <mergeCell ref="A3:M3"/>
    <mergeCell ref="D7:D8"/>
    <mergeCell ref="E7:E8"/>
    <mergeCell ref="F7:M7"/>
    <mergeCell ref="D6:M6"/>
    <mergeCell ref="A4:M4"/>
    <mergeCell ref="A6:A8"/>
    <mergeCell ref="C6:C8"/>
    <mergeCell ref="B6:B8"/>
    <mergeCell ref="A66:M66"/>
  </mergeCells>
  <printOptions horizontalCentered="1"/>
  <pageMargins left="0.5" right="0.5" top="0.75" bottom="0.5" header="0.5" footer="0.25"/>
  <pageSetup fitToHeight="2" fitToWidth="1" horizontalDpi="600" verticalDpi="600" orientation="landscape" paperSize="9" scale="82"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dimension ref="A3:G23"/>
  <sheetViews>
    <sheetView workbookViewId="0" topLeftCell="A1">
      <selection activeCell="C8" sqref="C8"/>
    </sheetView>
  </sheetViews>
  <sheetFormatPr defaultColWidth="9.140625" defaultRowHeight="12.75"/>
  <cols>
    <col min="1" max="1" width="5.00390625" style="97" customWidth="1"/>
    <col min="2" max="2" width="36.421875" style="99" customWidth="1"/>
    <col min="3" max="3" width="17.00390625" style="97" customWidth="1"/>
    <col min="4" max="4" width="18.28125" style="97" customWidth="1"/>
    <col min="5" max="5" width="16.7109375" style="97" customWidth="1"/>
    <col min="6" max="6" width="13.7109375" style="97" customWidth="1"/>
    <col min="7" max="7" width="13.140625" style="97" customWidth="1"/>
    <col min="8" max="16384" width="10.28125" style="97" customWidth="1"/>
  </cols>
  <sheetData>
    <row r="3" spans="1:7" ht="18.75">
      <c r="A3" s="147" t="s">
        <v>142</v>
      </c>
      <c r="B3" s="147"/>
      <c r="C3" s="147"/>
      <c r="D3" s="147"/>
      <c r="E3" s="147"/>
      <c r="F3" s="147"/>
      <c r="G3" s="147"/>
    </row>
    <row r="4" spans="1:7" ht="18.75">
      <c r="A4" s="147" t="s">
        <v>143</v>
      </c>
      <c r="B4" s="147"/>
      <c r="C4" s="147"/>
      <c r="D4" s="147"/>
      <c r="E4" s="147"/>
      <c r="F4" s="147"/>
      <c r="G4" s="147"/>
    </row>
    <row r="5" spans="1:7" s="17" customFormat="1" ht="18.75">
      <c r="A5" s="147" t="s">
        <v>144</v>
      </c>
      <c r="B5" s="147"/>
      <c r="C5" s="147"/>
      <c r="D5" s="147"/>
      <c r="E5" s="147"/>
      <c r="F5" s="147"/>
      <c r="G5" s="147"/>
    </row>
    <row r="6" spans="1:7" s="17" customFormat="1" ht="15" customHeight="1">
      <c r="A6" s="96"/>
      <c r="B6" s="96"/>
      <c r="C6" s="96"/>
      <c r="D6" s="96"/>
      <c r="E6" s="96"/>
      <c r="F6" s="96"/>
      <c r="G6" s="96"/>
    </row>
    <row r="7" spans="1:7" s="17" customFormat="1" ht="18.75">
      <c r="A7" s="128" t="s">
        <v>133</v>
      </c>
      <c r="B7" s="128"/>
      <c r="C7" s="128"/>
      <c r="D7" s="128"/>
      <c r="E7" s="128"/>
      <c r="F7" s="128"/>
      <c r="G7" s="128"/>
    </row>
    <row r="8" spans="1:7" s="17" customFormat="1" ht="15.75">
      <c r="A8" s="98"/>
      <c r="B8" s="98"/>
      <c r="C8" s="98"/>
      <c r="D8" s="98"/>
      <c r="E8" s="98"/>
      <c r="F8" s="98"/>
      <c r="G8" s="98"/>
    </row>
    <row r="9" spans="1:7" ht="15.75" customHeight="1">
      <c r="A9" s="17"/>
      <c r="B9" s="113"/>
      <c r="C9" s="114"/>
      <c r="D9" s="114"/>
      <c r="E9" s="129" t="s">
        <v>1</v>
      </c>
      <c r="F9" s="129"/>
      <c r="G9" s="129"/>
    </row>
    <row r="10" spans="1:7" ht="15.75" customHeight="1">
      <c r="A10" s="130" t="s">
        <v>145</v>
      </c>
      <c r="B10" s="133" t="s">
        <v>146</v>
      </c>
      <c r="C10" s="136" t="s">
        <v>147</v>
      </c>
      <c r="D10" s="139" t="s">
        <v>3</v>
      </c>
      <c r="E10" s="140"/>
      <c r="F10" s="140"/>
      <c r="G10" s="141"/>
    </row>
    <row r="11" spans="1:7" s="100" customFormat="1" ht="47.25" customHeight="1">
      <c r="A11" s="131"/>
      <c r="B11" s="134"/>
      <c r="C11" s="137"/>
      <c r="D11" s="142" t="s">
        <v>148</v>
      </c>
      <c r="E11" s="144" t="s">
        <v>149</v>
      </c>
      <c r="F11" s="145"/>
      <c r="G11" s="146"/>
    </row>
    <row r="12" spans="1:7" s="100" customFormat="1" ht="15.75">
      <c r="A12" s="132"/>
      <c r="B12" s="135"/>
      <c r="C12" s="138"/>
      <c r="D12" s="143"/>
      <c r="E12" s="115" t="s">
        <v>150</v>
      </c>
      <c r="F12" s="115" t="s">
        <v>151</v>
      </c>
      <c r="G12" s="115" t="s">
        <v>152</v>
      </c>
    </row>
    <row r="13" spans="1:7" s="104" customFormat="1" ht="30" customHeight="1">
      <c r="A13" s="101">
        <v>1</v>
      </c>
      <c r="B13" s="102">
        <v>2</v>
      </c>
      <c r="C13" s="103" t="s">
        <v>153</v>
      </c>
      <c r="D13" s="103">
        <v>4</v>
      </c>
      <c r="E13" s="103">
        <v>5</v>
      </c>
      <c r="F13" s="103">
        <v>6</v>
      </c>
      <c r="G13" s="103">
        <v>7</v>
      </c>
    </row>
    <row r="14" spans="1:7" s="105" customFormat="1" ht="24" customHeight="1">
      <c r="A14" s="116"/>
      <c r="B14" s="117" t="s">
        <v>147</v>
      </c>
      <c r="C14" s="118">
        <f>SUM(C15:C22)</f>
        <v>757621</v>
      </c>
      <c r="D14" s="118">
        <f>SUM(D15:D22)</f>
        <v>355045</v>
      </c>
      <c r="E14" s="118">
        <f>SUM(E15:E22)</f>
        <v>216080</v>
      </c>
      <c r="F14" s="118">
        <f>SUM(F15:F22)</f>
        <v>21238</v>
      </c>
      <c r="G14" s="118">
        <f>SUM(G15:G22)</f>
        <v>165258</v>
      </c>
    </row>
    <row r="15" spans="1:7" s="109" customFormat="1" ht="18.75">
      <c r="A15" s="106">
        <v>1</v>
      </c>
      <c r="B15" s="107" t="s">
        <v>154</v>
      </c>
      <c r="C15" s="108">
        <f aca="true" t="shared" si="0" ref="C15:C22">SUM(D15:G15)</f>
        <v>60903</v>
      </c>
      <c r="D15" s="108">
        <v>14512</v>
      </c>
      <c r="E15" s="108">
        <v>27500</v>
      </c>
      <c r="F15" s="108">
        <v>125</v>
      </c>
      <c r="G15" s="108">
        <f>11244+7522</f>
        <v>18766</v>
      </c>
    </row>
    <row r="16" spans="1:7" s="109" customFormat="1" ht="18.75">
      <c r="A16" s="106">
        <v>2</v>
      </c>
      <c r="B16" s="107" t="s">
        <v>155</v>
      </c>
      <c r="C16" s="108">
        <f t="shared" si="0"/>
        <v>85245</v>
      </c>
      <c r="D16" s="108">
        <v>47139</v>
      </c>
      <c r="E16" s="108">
        <v>18700</v>
      </c>
      <c r="F16" s="108">
        <v>3303</v>
      </c>
      <c r="G16" s="108">
        <f>9321+6782</f>
        <v>16103</v>
      </c>
    </row>
    <row r="17" spans="1:7" s="110" customFormat="1" ht="18.75">
      <c r="A17" s="106">
        <v>3</v>
      </c>
      <c r="B17" s="107" t="s">
        <v>156</v>
      </c>
      <c r="C17" s="108">
        <f t="shared" si="0"/>
        <v>148071</v>
      </c>
      <c r="D17" s="108">
        <v>63898</v>
      </c>
      <c r="E17" s="108">
        <v>40270</v>
      </c>
      <c r="F17" s="108">
        <v>5254</v>
      </c>
      <c r="G17" s="108">
        <f>13066+25583</f>
        <v>38649</v>
      </c>
    </row>
    <row r="18" spans="1:7" s="110" customFormat="1" ht="18.75">
      <c r="A18" s="106">
        <v>4</v>
      </c>
      <c r="B18" s="107" t="s">
        <v>157</v>
      </c>
      <c r="C18" s="108">
        <f t="shared" si="0"/>
        <v>102948</v>
      </c>
      <c r="D18" s="108">
        <v>55739</v>
      </c>
      <c r="E18" s="108">
        <v>23450</v>
      </c>
      <c r="F18" s="108">
        <v>4463</v>
      </c>
      <c r="G18" s="108">
        <f>7739+11557</f>
        <v>19296</v>
      </c>
    </row>
    <row r="19" spans="1:7" s="109" customFormat="1" ht="18.75">
      <c r="A19" s="106">
        <v>5</v>
      </c>
      <c r="B19" s="107" t="s">
        <v>158</v>
      </c>
      <c r="C19" s="108">
        <f t="shared" si="0"/>
        <v>81290</v>
      </c>
      <c r="D19" s="108">
        <v>39816</v>
      </c>
      <c r="E19" s="108">
        <v>23950</v>
      </c>
      <c r="F19" s="108">
        <v>2359</v>
      </c>
      <c r="G19" s="108">
        <f>6634+8531</f>
        <v>15165</v>
      </c>
    </row>
    <row r="20" spans="1:7" s="109" customFormat="1" ht="18.75">
      <c r="A20" s="106">
        <v>6</v>
      </c>
      <c r="B20" s="107" t="s">
        <v>159</v>
      </c>
      <c r="C20" s="108">
        <f t="shared" si="0"/>
        <v>115634</v>
      </c>
      <c r="D20" s="108">
        <v>59279</v>
      </c>
      <c r="E20" s="108">
        <v>26310</v>
      </c>
      <c r="F20" s="108">
        <v>3525</v>
      </c>
      <c r="G20" s="108">
        <f>11228+15292</f>
        <v>26520</v>
      </c>
    </row>
    <row r="21" spans="1:7" s="109" customFormat="1" ht="18.75">
      <c r="A21" s="106">
        <v>7</v>
      </c>
      <c r="B21" s="107" t="s">
        <v>160</v>
      </c>
      <c r="C21" s="108">
        <f t="shared" si="0"/>
        <v>106683</v>
      </c>
      <c r="D21" s="108">
        <v>47987</v>
      </c>
      <c r="E21" s="108">
        <v>35200</v>
      </c>
      <c r="F21" s="108">
        <v>1187</v>
      </c>
      <c r="G21" s="108">
        <f>12344+9965</f>
        <v>22309</v>
      </c>
    </row>
    <row r="22" spans="1:7" s="109" customFormat="1" ht="18.75">
      <c r="A22" s="106">
        <v>8</v>
      </c>
      <c r="B22" s="107" t="s">
        <v>161</v>
      </c>
      <c r="C22" s="108">
        <f t="shared" si="0"/>
        <v>56847</v>
      </c>
      <c r="D22" s="108">
        <v>26675</v>
      </c>
      <c r="E22" s="108">
        <v>20700</v>
      </c>
      <c r="F22" s="108">
        <v>1022</v>
      </c>
      <c r="G22" s="108">
        <f>4312+4138</f>
        <v>8450</v>
      </c>
    </row>
    <row r="23" spans="1:7" ht="6.75" customHeight="1">
      <c r="A23" s="111"/>
      <c r="B23" s="112"/>
      <c r="C23" s="111"/>
      <c r="D23" s="111"/>
      <c r="E23" s="111"/>
      <c r="F23" s="111"/>
      <c r="G23" s="111"/>
    </row>
  </sheetData>
  <mergeCells count="11">
    <mergeCell ref="A3:G3"/>
    <mergeCell ref="A4:G4"/>
    <mergeCell ref="A5:G5"/>
    <mergeCell ref="A7:G7"/>
    <mergeCell ref="E9:G9"/>
    <mergeCell ref="A10:A12"/>
    <mergeCell ref="B10:B12"/>
    <mergeCell ref="C10:C12"/>
    <mergeCell ref="D10:G10"/>
    <mergeCell ref="D11:D12"/>
    <mergeCell ref="E11:G11"/>
  </mergeCells>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1:M991"/>
  <sheetViews>
    <sheetView tabSelected="1" workbookViewId="0" topLeftCell="A3">
      <selection activeCell="A1001" sqref="A1001"/>
    </sheetView>
  </sheetViews>
  <sheetFormatPr defaultColWidth="9.140625" defaultRowHeight="12.75"/>
  <cols>
    <col min="1" max="1" width="38.7109375" style="1" customWidth="1"/>
    <col min="2" max="2" width="10.421875" style="1" customWidth="1"/>
    <col min="3" max="4" width="10.7109375" style="1" customWidth="1"/>
    <col min="5" max="12" width="8.140625" style="1" customWidth="1"/>
    <col min="13" max="16384" width="9.140625" style="1" customWidth="1"/>
  </cols>
  <sheetData>
    <row r="1" ht="15.75" hidden="1">
      <c r="A1" s="5" t="s">
        <v>0</v>
      </c>
    </row>
    <row r="2" ht="15.75" hidden="1"/>
    <row r="3" spans="1:12" ht="22.5" customHeight="1">
      <c r="A3" s="149" t="s">
        <v>122</v>
      </c>
      <c r="B3" s="149"/>
      <c r="C3" s="149"/>
      <c r="D3" s="149"/>
      <c r="E3" s="149"/>
      <c r="F3" s="149"/>
      <c r="G3" s="149"/>
      <c r="H3" s="149"/>
      <c r="I3" s="149"/>
      <c r="J3" s="149"/>
      <c r="K3" s="149"/>
      <c r="L3" s="149"/>
    </row>
    <row r="4" spans="1:12" ht="18.75">
      <c r="A4" s="149" t="s">
        <v>105</v>
      </c>
      <c r="B4" s="149"/>
      <c r="C4" s="149"/>
      <c r="D4" s="149"/>
      <c r="E4" s="149"/>
      <c r="F4" s="149"/>
      <c r="G4" s="149"/>
      <c r="H4" s="149"/>
      <c r="I4" s="149"/>
      <c r="J4" s="149"/>
      <c r="K4" s="149"/>
      <c r="L4" s="149"/>
    </row>
    <row r="5" spans="1:12" ht="18.75">
      <c r="A5" s="150" t="s">
        <v>133</v>
      </c>
      <c r="B5" s="151"/>
      <c r="C5" s="151"/>
      <c r="D5" s="151"/>
      <c r="E5" s="151"/>
      <c r="F5" s="151"/>
      <c r="G5" s="151"/>
      <c r="H5" s="151"/>
      <c r="I5" s="151"/>
      <c r="J5" s="151"/>
      <c r="K5" s="151"/>
      <c r="L5" s="151"/>
    </row>
    <row r="6" spans="1:12" ht="15.75">
      <c r="A6" s="75"/>
      <c r="B6" s="75"/>
      <c r="C6" s="75"/>
      <c r="D6" s="75"/>
      <c r="E6" s="75"/>
      <c r="F6" s="75"/>
      <c r="G6" s="75"/>
      <c r="H6" s="75"/>
      <c r="I6" s="75"/>
      <c r="J6" s="75"/>
      <c r="K6" s="75"/>
      <c r="L6" s="2" t="s">
        <v>134</v>
      </c>
    </row>
    <row r="7" spans="1:12" ht="15.75" customHeight="1">
      <c r="A7" s="152" t="s">
        <v>2</v>
      </c>
      <c r="B7" s="152" t="s">
        <v>116</v>
      </c>
      <c r="C7" s="154" t="s">
        <v>3</v>
      </c>
      <c r="D7" s="155"/>
      <c r="E7" s="155"/>
      <c r="F7" s="155"/>
      <c r="G7" s="155"/>
      <c r="H7" s="155"/>
      <c r="I7" s="155"/>
      <c r="J7" s="155"/>
      <c r="K7" s="155"/>
      <c r="L7" s="156"/>
    </row>
    <row r="8" spans="1:12" s="12" customFormat="1" ht="15.75" customHeight="1">
      <c r="A8" s="153"/>
      <c r="B8" s="153"/>
      <c r="C8" s="152" t="s">
        <v>4</v>
      </c>
      <c r="D8" s="152" t="s">
        <v>5</v>
      </c>
      <c r="E8" s="157" t="s">
        <v>3</v>
      </c>
      <c r="F8" s="157"/>
      <c r="G8" s="157"/>
      <c r="H8" s="157"/>
      <c r="I8" s="157"/>
      <c r="J8" s="157"/>
      <c r="K8" s="157"/>
      <c r="L8" s="157"/>
    </row>
    <row r="9" spans="1:12" s="12" customFormat="1" ht="25.5">
      <c r="A9" s="153"/>
      <c r="B9" s="153"/>
      <c r="C9" s="152"/>
      <c r="D9" s="152"/>
      <c r="E9" s="76" t="s">
        <v>6</v>
      </c>
      <c r="F9" s="76" t="s">
        <v>7</v>
      </c>
      <c r="G9" s="76" t="s">
        <v>8</v>
      </c>
      <c r="H9" s="76" t="s">
        <v>9</v>
      </c>
      <c r="I9" s="76" t="s">
        <v>10</v>
      </c>
      <c r="J9" s="76" t="s">
        <v>11</v>
      </c>
      <c r="K9" s="76" t="s">
        <v>12</v>
      </c>
      <c r="L9" s="76" t="s">
        <v>13</v>
      </c>
    </row>
    <row r="10" spans="1:12" ht="15.75">
      <c r="A10" s="3">
        <v>1</v>
      </c>
      <c r="B10" s="3" t="s">
        <v>14</v>
      </c>
      <c r="C10" s="3">
        <v>3</v>
      </c>
      <c r="D10" s="3" t="s">
        <v>15</v>
      </c>
      <c r="E10" s="3">
        <v>5</v>
      </c>
      <c r="F10" s="3">
        <v>6</v>
      </c>
      <c r="G10" s="3">
        <v>7</v>
      </c>
      <c r="H10" s="3">
        <v>8</v>
      </c>
      <c r="I10" s="3">
        <v>9</v>
      </c>
      <c r="J10" s="3">
        <v>10</v>
      </c>
      <c r="K10" s="3">
        <v>11</v>
      </c>
      <c r="L10" s="3">
        <v>12</v>
      </c>
    </row>
    <row r="11" spans="1:12" s="4" customFormat="1" ht="24.75" customHeight="1">
      <c r="A11" s="32" t="s">
        <v>16</v>
      </c>
      <c r="B11" s="44">
        <f aca="true" t="shared" si="0" ref="B11:L11">B12+B68</f>
        <v>1440000</v>
      </c>
      <c r="C11" s="44">
        <f t="shared" si="0"/>
        <v>925600</v>
      </c>
      <c r="D11" s="44">
        <f t="shared" si="0"/>
        <v>514400</v>
      </c>
      <c r="E11" s="44">
        <f t="shared" si="0"/>
        <v>70000</v>
      </c>
      <c r="F11" s="44">
        <f t="shared" si="0"/>
        <v>49500</v>
      </c>
      <c r="G11" s="44">
        <f t="shared" si="0"/>
        <v>103100</v>
      </c>
      <c r="H11" s="44">
        <f t="shared" si="0"/>
        <v>62000</v>
      </c>
      <c r="I11" s="44">
        <f t="shared" si="0"/>
        <v>13600</v>
      </c>
      <c r="J11" s="44">
        <f t="shared" si="0"/>
        <v>64700</v>
      </c>
      <c r="K11" s="44">
        <f t="shared" si="0"/>
        <v>96100</v>
      </c>
      <c r="L11" s="44">
        <f t="shared" si="0"/>
        <v>55400</v>
      </c>
    </row>
    <row r="12" spans="1:12" s="5" customFormat="1" ht="15.75">
      <c r="A12" s="33" t="s">
        <v>17</v>
      </c>
      <c r="B12" s="45">
        <f>B13+B63+B66+B67</f>
        <v>1307000</v>
      </c>
      <c r="C12" s="45">
        <f>C13+C63+C66+C67</f>
        <v>834000</v>
      </c>
      <c r="D12" s="45">
        <f>SUM(D13:D18)</f>
        <v>473000</v>
      </c>
      <c r="E12" s="45">
        <f aca="true" t="shared" si="1" ref="E12:L12">E13+E63+E66+E67</f>
        <v>67000</v>
      </c>
      <c r="F12" s="45">
        <f t="shared" si="1"/>
        <v>45300</v>
      </c>
      <c r="G12" s="45">
        <f t="shared" si="1"/>
        <v>94900</v>
      </c>
      <c r="H12" s="45">
        <f t="shared" si="1"/>
        <v>56000</v>
      </c>
      <c r="I12" s="45">
        <f t="shared" si="1"/>
        <v>11400</v>
      </c>
      <c r="J12" s="45">
        <f t="shared" si="1"/>
        <v>59300</v>
      </c>
      <c r="K12" s="45">
        <f t="shared" si="1"/>
        <v>87900</v>
      </c>
      <c r="L12" s="45">
        <f t="shared" si="1"/>
        <v>51200</v>
      </c>
    </row>
    <row r="13" spans="1:12" s="5" customFormat="1" ht="15.75" customHeight="1">
      <c r="A13" s="33" t="s">
        <v>18</v>
      </c>
      <c r="B13" s="45">
        <f aca="true" t="shared" si="2" ref="B13:L13">B14+B21+B28+B38+B45+B46+B47+B48+B49+B50+B53+B54+B58+B59+B60+B62+B61</f>
        <v>1295000</v>
      </c>
      <c r="C13" s="45">
        <f t="shared" si="2"/>
        <v>822000</v>
      </c>
      <c r="D13" s="45">
        <f t="shared" si="2"/>
        <v>473000</v>
      </c>
      <c r="E13" s="45">
        <f t="shared" si="2"/>
        <v>67000</v>
      </c>
      <c r="F13" s="45">
        <f t="shared" si="2"/>
        <v>45300</v>
      </c>
      <c r="G13" s="45">
        <f t="shared" si="2"/>
        <v>94900</v>
      </c>
      <c r="H13" s="45">
        <f t="shared" si="2"/>
        <v>56000</v>
      </c>
      <c r="I13" s="45">
        <f t="shared" si="2"/>
        <v>11400</v>
      </c>
      <c r="J13" s="45">
        <f t="shared" si="2"/>
        <v>59300</v>
      </c>
      <c r="K13" s="45">
        <f t="shared" si="2"/>
        <v>87900</v>
      </c>
      <c r="L13" s="45">
        <f t="shared" si="2"/>
        <v>51200</v>
      </c>
    </row>
    <row r="14" spans="1:12" ht="25.5">
      <c r="A14" s="77" t="s">
        <v>19</v>
      </c>
      <c r="B14" s="46">
        <f>B15+B16+B17+B18+B19+B20</f>
        <v>480000</v>
      </c>
      <c r="C14" s="46">
        <f>C15+C16+C17+C18+C19+C20</f>
        <v>480000</v>
      </c>
      <c r="D14" s="46"/>
      <c r="E14" s="46"/>
      <c r="F14" s="46"/>
      <c r="G14" s="46"/>
      <c r="H14" s="46"/>
      <c r="I14" s="46"/>
      <c r="J14" s="46"/>
      <c r="K14" s="46"/>
      <c r="L14" s="46"/>
    </row>
    <row r="15" spans="1:12" ht="15.75">
      <c r="A15" s="78" t="s">
        <v>20</v>
      </c>
      <c r="B15" s="46">
        <f>C15+D15</f>
        <v>109700</v>
      </c>
      <c r="C15" s="46">
        <v>109700</v>
      </c>
      <c r="D15" s="46"/>
      <c r="E15" s="46"/>
      <c r="F15" s="46"/>
      <c r="G15" s="46"/>
      <c r="H15" s="46"/>
      <c r="I15" s="46"/>
      <c r="J15" s="46"/>
      <c r="K15" s="46"/>
      <c r="L15" s="46"/>
    </row>
    <row r="16" spans="1:12" ht="15.75">
      <c r="A16" s="34" t="s">
        <v>21</v>
      </c>
      <c r="B16" s="46">
        <f>C16+D16</f>
        <v>360600</v>
      </c>
      <c r="C16" s="46">
        <v>360600</v>
      </c>
      <c r="D16" s="46"/>
      <c r="E16" s="46"/>
      <c r="F16" s="46"/>
      <c r="G16" s="46"/>
      <c r="H16" s="46"/>
      <c r="I16" s="46"/>
      <c r="J16" s="46"/>
      <c r="K16" s="46"/>
      <c r="L16" s="46"/>
    </row>
    <row r="17" spans="1:12" ht="15.75" customHeight="1" hidden="1">
      <c r="A17" s="34" t="s">
        <v>22</v>
      </c>
      <c r="B17" s="46"/>
      <c r="C17" s="46"/>
      <c r="D17" s="46"/>
      <c r="E17" s="46"/>
      <c r="F17" s="46"/>
      <c r="G17" s="46"/>
      <c r="H17" s="46"/>
      <c r="I17" s="46"/>
      <c r="J17" s="46"/>
      <c r="K17" s="46"/>
      <c r="L17" s="46"/>
    </row>
    <row r="18" spans="1:12" ht="15.75">
      <c r="A18" s="35" t="s">
        <v>23</v>
      </c>
      <c r="B18" s="46">
        <f>C18+D18</f>
        <v>9300</v>
      </c>
      <c r="C18" s="46">
        <v>9300</v>
      </c>
      <c r="D18" s="46"/>
      <c r="E18" s="46"/>
      <c r="F18" s="46"/>
      <c r="G18" s="46"/>
      <c r="H18" s="46"/>
      <c r="I18" s="46"/>
      <c r="J18" s="46"/>
      <c r="K18" s="46"/>
      <c r="L18" s="46"/>
    </row>
    <row r="19" spans="1:12" ht="15.75">
      <c r="A19" s="34" t="s">
        <v>24</v>
      </c>
      <c r="B19" s="46">
        <f aca="true" t="shared" si="3" ref="B19:B27">C19+D19</f>
        <v>180</v>
      </c>
      <c r="C19" s="46">
        <v>180</v>
      </c>
      <c r="D19" s="46"/>
      <c r="E19" s="46"/>
      <c r="F19" s="46"/>
      <c r="G19" s="46"/>
      <c r="H19" s="46"/>
      <c r="I19" s="46"/>
      <c r="J19" s="46"/>
      <c r="K19" s="46"/>
      <c r="L19" s="46"/>
    </row>
    <row r="20" spans="1:12" ht="15.75">
      <c r="A20" s="34" t="s">
        <v>61</v>
      </c>
      <c r="B20" s="46">
        <f t="shared" si="3"/>
        <v>220</v>
      </c>
      <c r="C20" s="46">
        <v>220</v>
      </c>
      <c r="D20" s="46"/>
      <c r="E20" s="33"/>
      <c r="F20" s="46"/>
      <c r="G20" s="46"/>
      <c r="H20" s="46"/>
      <c r="I20" s="46"/>
      <c r="J20" s="46"/>
      <c r="K20" s="46"/>
      <c r="L20" s="46"/>
    </row>
    <row r="21" spans="1:12" ht="25.5">
      <c r="A21" s="77" t="s">
        <v>25</v>
      </c>
      <c r="B21" s="46">
        <f t="shared" si="3"/>
        <v>106000</v>
      </c>
      <c r="C21" s="46">
        <f>C22+C23+C25+C26+C27</f>
        <v>106000</v>
      </c>
      <c r="D21" s="46"/>
      <c r="E21" s="46"/>
      <c r="F21" s="46"/>
      <c r="G21" s="46"/>
      <c r="H21" s="46"/>
      <c r="I21" s="46"/>
      <c r="J21" s="46"/>
      <c r="K21" s="46"/>
      <c r="L21" s="46"/>
    </row>
    <row r="22" spans="1:12" ht="15.75">
      <c r="A22" s="78" t="s">
        <v>20</v>
      </c>
      <c r="B22" s="46">
        <f t="shared" si="3"/>
        <v>54000</v>
      </c>
      <c r="C22" s="46">
        <v>54000</v>
      </c>
      <c r="D22" s="46"/>
      <c r="E22" s="46"/>
      <c r="F22" s="46"/>
      <c r="G22" s="46"/>
      <c r="H22" s="46"/>
      <c r="I22" s="46"/>
      <c r="J22" s="46"/>
      <c r="K22" s="46"/>
      <c r="L22" s="46"/>
    </row>
    <row r="23" spans="1:12" ht="15.75">
      <c r="A23" s="34" t="s">
        <v>21</v>
      </c>
      <c r="B23" s="46">
        <f t="shared" si="3"/>
        <v>37400</v>
      </c>
      <c r="C23" s="46">
        <v>37400</v>
      </c>
      <c r="D23" s="46"/>
      <c r="E23" s="46"/>
      <c r="F23" s="46"/>
      <c r="G23" s="46"/>
      <c r="H23" s="46"/>
      <c r="I23" s="46"/>
      <c r="J23" s="46"/>
      <c r="K23" s="46"/>
      <c r="L23" s="46"/>
    </row>
    <row r="24" spans="1:12" ht="15" customHeight="1">
      <c r="A24" s="34" t="s">
        <v>135</v>
      </c>
      <c r="B24" s="46">
        <f t="shared" si="3"/>
        <v>0</v>
      </c>
      <c r="C24" s="46"/>
      <c r="D24" s="46"/>
      <c r="E24" s="46"/>
      <c r="F24" s="46"/>
      <c r="G24" s="46"/>
      <c r="H24" s="46"/>
      <c r="I24" s="46"/>
      <c r="J24" s="46"/>
      <c r="K24" s="46"/>
      <c r="L24" s="46"/>
    </row>
    <row r="25" spans="1:12" ht="15.75">
      <c r="A25" s="35" t="s">
        <v>23</v>
      </c>
      <c r="B25" s="46">
        <f t="shared" si="3"/>
        <v>14300</v>
      </c>
      <c r="C25" s="46">
        <v>14300</v>
      </c>
      <c r="D25" s="46"/>
      <c r="E25" s="46"/>
      <c r="F25" s="46"/>
      <c r="G25" s="46"/>
      <c r="H25" s="46"/>
      <c r="I25" s="46"/>
      <c r="J25" s="46"/>
      <c r="K25" s="46"/>
      <c r="L25" s="46"/>
    </row>
    <row r="26" spans="1:12" ht="15.75">
      <c r="A26" s="34" t="s">
        <v>24</v>
      </c>
      <c r="B26" s="46">
        <f t="shared" si="3"/>
        <v>200</v>
      </c>
      <c r="C26" s="46">
        <f>'[2]QLDN'!$H$21</f>
        <v>200</v>
      </c>
      <c r="D26" s="46"/>
      <c r="E26" s="46"/>
      <c r="F26" s="46"/>
      <c r="G26" s="46"/>
      <c r="H26" s="46"/>
      <c r="I26" s="46"/>
      <c r="J26" s="46"/>
      <c r="K26" s="46"/>
      <c r="L26" s="46"/>
    </row>
    <row r="27" spans="1:12" ht="15.75">
      <c r="A27" s="34" t="s">
        <v>61</v>
      </c>
      <c r="B27" s="46">
        <f t="shared" si="3"/>
        <v>100</v>
      </c>
      <c r="C27" s="46">
        <v>100</v>
      </c>
      <c r="D27" s="46"/>
      <c r="E27" s="46"/>
      <c r="F27" s="46"/>
      <c r="G27" s="46"/>
      <c r="H27" s="46"/>
      <c r="I27" s="46"/>
      <c r="J27" s="46"/>
      <c r="K27" s="46"/>
      <c r="L27" s="46"/>
    </row>
    <row r="28" spans="1:12" ht="25.5">
      <c r="A28" s="77" t="s">
        <v>26</v>
      </c>
      <c r="B28" s="46">
        <f>B29+B30+B31+B32+B33+B34+B35+B36+B37</f>
        <v>5000</v>
      </c>
      <c r="C28" s="46">
        <f>C29+C30+C31+C32+C33+C34+C35+C36+C37</f>
        <v>5000</v>
      </c>
      <c r="D28" s="46"/>
      <c r="E28" s="46"/>
      <c r="F28" s="46"/>
      <c r="G28" s="46"/>
      <c r="H28" s="46"/>
      <c r="I28" s="46"/>
      <c r="J28" s="46"/>
      <c r="K28" s="46"/>
      <c r="L28" s="46"/>
    </row>
    <row r="29" spans="1:12" ht="15.75">
      <c r="A29" s="78" t="s">
        <v>20</v>
      </c>
      <c r="B29" s="46">
        <f aca="true" t="shared" si="4" ref="B29:B37">C29+D29</f>
        <v>4000</v>
      </c>
      <c r="C29" s="46">
        <v>4000</v>
      </c>
      <c r="D29" s="46"/>
      <c r="E29" s="46"/>
      <c r="F29" s="46"/>
      <c r="G29" s="46"/>
      <c r="H29" s="46"/>
      <c r="I29" s="46"/>
      <c r="J29" s="46"/>
      <c r="K29" s="46"/>
      <c r="L29" s="46"/>
    </row>
    <row r="30" spans="1:12" ht="15.75">
      <c r="A30" s="34" t="s">
        <v>21</v>
      </c>
      <c r="B30" s="46">
        <f t="shared" si="4"/>
        <v>450</v>
      </c>
      <c r="C30" s="46">
        <v>450</v>
      </c>
      <c r="D30" s="46"/>
      <c r="E30" s="46"/>
      <c r="F30" s="46"/>
      <c r="G30" s="46"/>
      <c r="H30" s="46"/>
      <c r="I30" s="46"/>
      <c r="J30" s="46"/>
      <c r="K30" s="46"/>
      <c r="L30" s="46"/>
    </row>
    <row r="31" spans="1:12" ht="15.75" customHeight="1" hidden="1">
      <c r="A31" s="34" t="s">
        <v>22</v>
      </c>
      <c r="B31" s="46">
        <f t="shared" si="4"/>
        <v>0</v>
      </c>
      <c r="C31" s="46"/>
      <c r="D31" s="46"/>
      <c r="E31" s="46"/>
      <c r="F31" s="46"/>
      <c r="G31" s="46"/>
      <c r="H31" s="46"/>
      <c r="I31" s="46"/>
      <c r="J31" s="46"/>
      <c r="K31" s="46"/>
      <c r="L31" s="46"/>
    </row>
    <row r="32" spans="1:12" ht="15" customHeight="1">
      <c r="A32" s="35" t="s">
        <v>23</v>
      </c>
      <c r="B32" s="46">
        <f t="shared" si="4"/>
        <v>0</v>
      </c>
      <c r="C32" s="46"/>
      <c r="D32" s="46"/>
      <c r="E32" s="46"/>
      <c r="F32" s="46"/>
      <c r="G32" s="46"/>
      <c r="H32" s="46"/>
      <c r="I32" s="46"/>
      <c r="J32" s="46"/>
      <c r="K32" s="46"/>
      <c r="L32" s="46"/>
    </row>
    <row r="33" spans="1:12" ht="15.75">
      <c r="A33" s="34" t="s">
        <v>27</v>
      </c>
      <c r="B33" s="46">
        <f t="shared" si="4"/>
        <v>300</v>
      </c>
      <c r="C33" s="46">
        <v>300</v>
      </c>
      <c r="D33" s="46"/>
      <c r="E33" s="46"/>
      <c r="F33" s="46"/>
      <c r="G33" s="46"/>
      <c r="H33" s="46"/>
      <c r="I33" s="46"/>
      <c r="J33" s="46"/>
      <c r="K33" s="46"/>
      <c r="L33" s="46"/>
    </row>
    <row r="34" spans="1:12" ht="15.75" customHeight="1" hidden="1">
      <c r="A34" s="34" t="s">
        <v>28</v>
      </c>
      <c r="B34" s="46">
        <f t="shared" si="4"/>
        <v>0</v>
      </c>
      <c r="C34" s="46"/>
      <c r="D34" s="46"/>
      <c r="E34" s="46"/>
      <c r="F34" s="46"/>
      <c r="G34" s="46"/>
      <c r="H34" s="46"/>
      <c r="I34" s="46"/>
      <c r="J34" s="46"/>
      <c r="K34" s="46"/>
      <c r="L34" s="46"/>
    </row>
    <row r="35" spans="1:12" ht="15.75" customHeight="1" hidden="1">
      <c r="A35" s="34" t="s">
        <v>29</v>
      </c>
      <c r="B35" s="46">
        <f t="shared" si="4"/>
        <v>0</v>
      </c>
      <c r="C35" s="46"/>
      <c r="D35" s="46"/>
      <c r="E35" s="46"/>
      <c r="F35" s="46"/>
      <c r="G35" s="46"/>
      <c r="H35" s="46"/>
      <c r="I35" s="46"/>
      <c r="J35" s="46"/>
      <c r="K35" s="46"/>
      <c r="L35" s="46"/>
    </row>
    <row r="36" spans="1:12" ht="15.75">
      <c r="A36" s="34" t="s">
        <v>24</v>
      </c>
      <c r="B36" s="46">
        <f t="shared" si="4"/>
        <v>150</v>
      </c>
      <c r="C36" s="46">
        <v>150</v>
      </c>
      <c r="D36" s="46"/>
      <c r="E36" s="46"/>
      <c r="F36" s="46"/>
      <c r="G36" s="46"/>
      <c r="H36" s="46"/>
      <c r="I36" s="46"/>
      <c r="J36" s="46"/>
      <c r="K36" s="46"/>
      <c r="L36" s="46"/>
    </row>
    <row r="37" spans="1:12" ht="15.75">
      <c r="A37" s="34" t="s">
        <v>30</v>
      </c>
      <c r="B37" s="46">
        <f t="shared" si="4"/>
        <v>100</v>
      </c>
      <c r="C37" s="46">
        <v>100</v>
      </c>
      <c r="D37" s="46"/>
      <c r="E37" s="46"/>
      <c r="F37" s="46"/>
      <c r="G37" s="46"/>
      <c r="H37" s="46"/>
      <c r="I37" s="46"/>
      <c r="J37" s="46"/>
      <c r="K37" s="46"/>
      <c r="L37" s="46"/>
    </row>
    <row r="38" spans="1:12" s="79" customFormat="1" ht="25.5">
      <c r="A38" s="77" t="s">
        <v>136</v>
      </c>
      <c r="B38" s="46">
        <f aca="true" t="shared" si="5" ref="B38:L38">SUM(B39:B44)</f>
        <v>390000</v>
      </c>
      <c r="C38" s="46">
        <f t="shared" si="5"/>
        <v>140000</v>
      </c>
      <c r="D38" s="46">
        <f t="shared" si="5"/>
        <v>250000</v>
      </c>
      <c r="E38" s="46">
        <f t="shared" si="5"/>
        <v>28500</v>
      </c>
      <c r="F38" s="46">
        <f t="shared" si="5"/>
        <v>24000</v>
      </c>
      <c r="G38" s="46">
        <f t="shared" si="5"/>
        <v>70000</v>
      </c>
      <c r="H38" s="46">
        <f t="shared" si="5"/>
        <v>30000</v>
      </c>
      <c r="I38" s="46">
        <f t="shared" si="5"/>
        <v>5500</v>
      </c>
      <c r="J38" s="46">
        <f t="shared" si="5"/>
        <v>40000</v>
      </c>
      <c r="K38" s="46">
        <f t="shared" si="5"/>
        <v>35500</v>
      </c>
      <c r="L38" s="46">
        <f t="shared" si="5"/>
        <v>16500</v>
      </c>
    </row>
    <row r="39" spans="1:12" ht="15.75">
      <c r="A39" s="78" t="s">
        <v>20</v>
      </c>
      <c r="B39" s="46">
        <f aca="true" t="shared" si="6" ref="B39:B49">C39+D39</f>
        <v>314130</v>
      </c>
      <c r="C39" s="46">
        <v>132400</v>
      </c>
      <c r="D39" s="46">
        <f aca="true" t="shared" si="7" ref="D39:D47">SUM(E39:L39)</f>
        <v>181730</v>
      </c>
      <c r="E39" s="46">
        <v>17300</v>
      </c>
      <c r="F39" s="46">
        <v>2800</v>
      </c>
      <c r="G39" s="46">
        <v>60600</v>
      </c>
      <c r="H39" s="46">
        <v>24980</v>
      </c>
      <c r="I39" s="46">
        <v>2780</v>
      </c>
      <c r="J39" s="46">
        <v>34850</v>
      </c>
      <c r="K39" s="46">
        <v>28890</v>
      </c>
      <c r="L39" s="46">
        <v>9530</v>
      </c>
    </row>
    <row r="40" spans="1:12" ht="15.75">
      <c r="A40" s="34" t="s">
        <v>21</v>
      </c>
      <c r="B40" s="46">
        <f t="shared" si="6"/>
        <v>65690</v>
      </c>
      <c r="C40" s="46">
        <v>5700</v>
      </c>
      <c r="D40" s="46">
        <f t="shared" si="7"/>
        <v>59990</v>
      </c>
      <c r="E40" s="46">
        <v>9950</v>
      </c>
      <c r="F40" s="46">
        <v>20370</v>
      </c>
      <c r="G40" s="46">
        <v>7400</v>
      </c>
      <c r="H40" s="46">
        <v>4200</v>
      </c>
      <c r="I40" s="46">
        <v>2200</v>
      </c>
      <c r="J40" s="46">
        <v>4170</v>
      </c>
      <c r="K40" s="46">
        <v>5500</v>
      </c>
      <c r="L40" s="46">
        <v>6200</v>
      </c>
    </row>
    <row r="41" spans="1:12" ht="15.75" customHeight="1">
      <c r="A41" s="34" t="s">
        <v>137</v>
      </c>
      <c r="B41" s="46">
        <f t="shared" si="6"/>
        <v>390</v>
      </c>
      <c r="C41" s="46"/>
      <c r="D41" s="46">
        <f t="shared" si="7"/>
        <v>390</v>
      </c>
      <c r="E41" s="46">
        <v>120</v>
      </c>
      <c r="F41" s="46">
        <f>'[2]DPhu'!$H$38</f>
        <v>0</v>
      </c>
      <c r="G41" s="46">
        <v>50</v>
      </c>
      <c r="H41" s="46">
        <v>30</v>
      </c>
      <c r="I41" s="46">
        <f>'[2]BDop'!$H$38</f>
        <v>10</v>
      </c>
      <c r="J41" s="46">
        <f>'[2]BDang'!$H$38</f>
        <v>10</v>
      </c>
      <c r="K41" s="46">
        <v>40</v>
      </c>
      <c r="L41" s="46">
        <v>130</v>
      </c>
    </row>
    <row r="42" spans="1:12" ht="15.75">
      <c r="A42" s="35" t="s">
        <v>23</v>
      </c>
      <c r="B42" s="46">
        <f t="shared" si="6"/>
        <v>1430</v>
      </c>
      <c r="C42" s="46">
        <v>400</v>
      </c>
      <c r="D42" s="46">
        <f t="shared" si="7"/>
        <v>1030</v>
      </c>
      <c r="E42" s="46">
        <v>100</v>
      </c>
      <c r="F42" s="46">
        <v>150</v>
      </c>
      <c r="G42" s="46">
        <v>110</v>
      </c>
      <c r="H42" s="46">
        <v>170</v>
      </c>
      <c r="I42" s="46">
        <v>150</v>
      </c>
      <c r="J42" s="46">
        <v>70</v>
      </c>
      <c r="K42" s="46">
        <v>180</v>
      </c>
      <c r="L42" s="46">
        <v>100</v>
      </c>
    </row>
    <row r="43" spans="1:12" ht="15.75">
      <c r="A43" s="34" t="s">
        <v>24</v>
      </c>
      <c r="B43" s="46">
        <f t="shared" si="6"/>
        <v>6600</v>
      </c>
      <c r="C43" s="46">
        <v>530</v>
      </c>
      <c r="D43" s="46">
        <f t="shared" si="7"/>
        <v>6070</v>
      </c>
      <c r="E43" s="46">
        <v>950</v>
      </c>
      <c r="F43" s="46">
        <v>480</v>
      </c>
      <c r="G43" s="46">
        <v>1650</v>
      </c>
      <c r="H43" s="46">
        <v>580</v>
      </c>
      <c r="I43" s="46">
        <v>340</v>
      </c>
      <c r="J43" s="46">
        <v>820</v>
      </c>
      <c r="K43" s="46">
        <v>790</v>
      </c>
      <c r="L43" s="46">
        <v>460</v>
      </c>
    </row>
    <row r="44" spans="1:12" ht="15.75">
      <c r="A44" s="34" t="s">
        <v>31</v>
      </c>
      <c r="B44" s="46">
        <f t="shared" si="6"/>
        <v>1760</v>
      </c>
      <c r="C44" s="46">
        <v>970</v>
      </c>
      <c r="D44" s="46">
        <f t="shared" si="7"/>
        <v>790</v>
      </c>
      <c r="E44" s="46">
        <v>80</v>
      </c>
      <c r="F44" s="46">
        <v>200</v>
      </c>
      <c r="G44" s="46">
        <v>190</v>
      </c>
      <c r="H44" s="46">
        <v>40</v>
      </c>
      <c r="I44" s="46">
        <v>20</v>
      </c>
      <c r="J44" s="46">
        <v>80</v>
      </c>
      <c r="K44" s="46">
        <v>100</v>
      </c>
      <c r="L44" s="46">
        <f>'[2]CThanh'!$H$40</f>
        <v>80</v>
      </c>
    </row>
    <row r="45" spans="1:12" ht="15.75">
      <c r="A45" s="77" t="s">
        <v>32</v>
      </c>
      <c r="B45" s="46">
        <f t="shared" si="6"/>
        <v>50000</v>
      </c>
      <c r="C45" s="46"/>
      <c r="D45" s="46">
        <f t="shared" si="7"/>
        <v>50000</v>
      </c>
      <c r="E45" s="46">
        <v>9400</v>
      </c>
      <c r="F45" s="46">
        <v>5000</v>
      </c>
      <c r="G45" s="46">
        <v>6000</v>
      </c>
      <c r="H45" s="46">
        <v>4500</v>
      </c>
      <c r="I45" s="46">
        <v>1000</v>
      </c>
      <c r="J45" s="46">
        <v>4600</v>
      </c>
      <c r="K45" s="46">
        <v>9500</v>
      </c>
      <c r="L45" s="46">
        <v>10000</v>
      </c>
    </row>
    <row r="46" spans="1:12" ht="15.75">
      <c r="A46" s="77" t="s">
        <v>33</v>
      </c>
      <c r="B46" s="46">
        <f t="shared" si="6"/>
        <v>5200</v>
      </c>
      <c r="C46" s="46"/>
      <c r="D46" s="46">
        <f t="shared" si="7"/>
        <v>5200</v>
      </c>
      <c r="E46" s="46">
        <v>1000</v>
      </c>
      <c r="F46" s="46">
        <v>3000</v>
      </c>
      <c r="G46" s="46">
        <v>100</v>
      </c>
      <c r="H46" s="46">
        <v>0</v>
      </c>
      <c r="I46" s="46"/>
      <c r="J46" s="46">
        <v>0</v>
      </c>
      <c r="K46" s="46">
        <v>0</v>
      </c>
      <c r="L46" s="46">
        <v>1100</v>
      </c>
    </row>
    <row r="47" spans="1:12" ht="15.75">
      <c r="A47" s="77" t="s">
        <v>34</v>
      </c>
      <c r="B47" s="46">
        <f t="shared" si="6"/>
        <v>5600</v>
      </c>
      <c r="C47" s="46"/>
      <c r="D47" s="46">
        <f t="shared" si="7"/>
        <v>5600</v>
      </c>
      <c r="E47" s="46">
        <v>2170</v>
      </c>
      <c r="F47" s="46">
        <v>440</v>
      </c>
      <c r="G47" s="46">
        <v>1090</v>
      </c>
      <c r="H47" s="46">
        <v>275</v>
      </c>
      <c r="I47" s="46">
        <v>135</v>
      </c>
      <c r="J47" s="46">
        <v>360</v>
      </c>
      <c r="K47" s="46">
        <v>700</v>
      </c>
      <c r="L47" s="46">
        <v>430</v>
      </c>
    </row>
    <row r="48" spans="1:12" ht="15.75">
      <c r="A48" s="77" t="s">
        <v>35</v>
      </c>
      <c r="B48" s="46">
        <f t="shared" si="6"/>
        <v>27000</v>
      </c>
      <c r="C48" s="46">
        <v>27000</v>
      </c>
      <c r="D48" s="46"/>
      <c r="E48" s="46"/>
      <c r="F48" s="46"/>
      <c r="G48" s="46"/>
      <c r="H48" s="46"/>
      <c r="I48" s="46"/>
      <c r="J48" s="46"/>
      <c r="K48" s="46"/>
      <c r="L48" s="46"/>
    </row>
    <row r="49" spans="1:12" ht="15.75">
      <c r="A49" s="77" t="s">
        <v>106</v>
      </c>
      <c r="B49" s="46">
        <f t="shared" si="6"/>
        <v>9000</v>
      </c>
      <c r="C49" s="46">
        <f>'[2]QLDN'!$H$45</f>
        <v>9000</v>
      </c>
      <c r="D49" s="46"/>
      <c r="E49" s="46"/>
      <c r="F49" s="46"/>
      <c r="G49" s="46"/>
      <c r="H49" s="46"/>
      <c r="I49" s="46"/>
      <c r="J49" s="46"/>
      <c r="K49" s="46"/>
      <c r="L49" s="46"/>
    </row>
    <row r="50" spans="1:12" ht="15.75">
      <c r="A50" s="77" t="s">
        <v>107</v>
      </c>
      <c r="B50" s="46">
        <f>B51+B52</f>
        <v>19800</v>
      </c>
      <c r="C50" s="46">
        <f aca="true" t="shared" si="8" ref="C50:L50">SUM(C51:C52)</f>
        <v>8000</v>
      </c>
      <c r="D50" s="46">
        <f t="shared" si="8"/>
        <v>11800</v>
      </c>
      <c r="E50" s="46">
        <f t="shared" si="8"/>
        <v>1100</v>
      </c>
      <c r="F50" s="46">
        <f t="shared" si="8"/>
        <v>1000</v>
      </c>
      <c r="G50" s="46">
        <f t="shared" si="8"/>
        <v>2500</v>
      </c>
      <c r="H50" s="46">
        <f t="shared" si="8"/>
        <v>1800</v>
      </c>
      <c r="I50" s="46">
        <f t="shared" si="8"/>
        <v>1100</v>
      </c>
      <c r="J50" s="46">
        <f t="shared" si="8"/>
        <v>2000</v>
      </c>
      <c r="K50" s="46">
        <f t="shared" si="8"/>
        <v>1000</v>
      </c>
      <c r="L50" s="46">
        <f t="shared" si="8"/>
        <v>1300</v>
      </c>
    </row>
    <row r="51" spans="1:12" ht="15.75" customHeight="1">
      <c r="A51" s="78" t="s">
        <v>36</v>
      </c>
      <c r="B51" s="46">
        <f>C51+D51</f>
        <v>0</v>
      </c>
      <c r="C51" s="46"/>
      <c r="D51" s="46">
        <f aca="true" t="shared" si="9" ref="D51:D59">SUM(E51:L51)</f>
        <v>0</v>
      </c>
      <c r="E51" s="46"/>
      <c r="F51" s="46"/>
      <c r="G51" s="46"/>
      <c r="H51" s="46"/>
      <c r="I51" s="46"/>
      <c r="J51" s="46"/>
      <c r="K51" s="46"/>
      <c r="L51" s="46"/>
    </row>
    <row r="52" spans="1:12" ht="15.75" customHeight="1">
      <c r="A52" s="78" t="s">
        <v>37</v>
      </c>
      <c r="B52" s="46">
        <f>C52+D52</f>
        <v>19800</v>
      </c>
      <c r="C52" s="46">
        <v>8000</v>
      </c>
      <c r="D52" s="46">
        <f t="shared" si="9"/>
        <v>11800</v>
      </c>
      <c r="E52" s="46">
        <v>1100</v>
      </c>
      <c r="F52" s="46">
        <v>1000</v>
      </c>
      <c r="G52" s="46">
        <v>2500</v>
      </c>
      <c r="H52" s="46">
        <v>1800</v>
      </c>
      <c r="I52" s="46">
        <v>1100</v>
      </c>
      <c r="J52" s="46">
        <v>2000</v>
      </c>
      <c r="K52" s="46">
        <v>1000</v>
      </c>
      <c r="L52" s="46">
        <v>1300</v>
      </c>
    </row>
    <row r="53" spans="1:12" ht="15.75" customHeight="1">
      <c r="A53" s="77" t="s">
        <v>115</v>
      </c>
      <c r="B53" s="46">
        <f>C53+D53</f>
        <v>32000</v>
      </c>
      <c r="C53" s="46"/>
      <c r="D53" s="46">
        <f t="shared" si="9"/>
        <v>32000</v>
      </c>
      <c r="E53" s="46">
        <v>6000</v>
      </c>
      <c r="F53" s="46">
        <v>4000</v>
      </c>
      <c r="G53" s="46">
        <v>3000</v>
      </c>
      <c r="H53" s="46">
        <v>2750</v>
      </c>
      <c r="I53" s="46">
        <v>600</v>
      </c>
      <c r="J53" s="46">
        <v>2800</v>
      </c>
      <c r="K53" s="46">
        <v>7300</v>
      </c>
      <c r="L53" s="46">
        <v>5550</v>
      </c>
    </row>
    <row r="54" spans="1:12" ht="0.75" customHeight="1" hidden="1">
      <c r="A54" s="77" t="s">
        <v>38</v>
      </c>
      <c r="B54" s="46">
        <f>C54+D54</f>
        <v>0</v>
      </c>
      <c r="C54" s="46"/>
      <c r="D54" s="46">
        <f t="shared" si="9"/>
        <v>0</v>
      </c>
      <c r="E54" s="46"/>
      <c r="F54" s="46"/>
      <c r="G54" s="46"/>
      <c r="H54" s="46"/>
      <c r="I54" s="46"/>
      <c r="J54" s="46"/>
      <c r="K54" s="46"/>
      <c r="L54" s="46"/>
    </row>
    <row r="55" spans="1:12" ht="15.75" customHeight="1" hidden="1">
      <c r="A55" s="78" t="s">
        <v>39</v>
      </c>
      <c r="B55" s="46"/>
      <c r="C55" s="46" t="e">
        <f>#REF!-D55</f>
        <v>#REF!</v>
      </c>
      <c r="D55" s="46">
        <f t="shared" si="9"/>
        <v>0</v>
      </c>
      <c r="E55" s="46"/>
      <c r="F55" s="46"/>
      <c r="G55" s="46"/>
      <c r="H55" s="46"/>
      <c r="I55" s="46"/>
      <c r="J55" s="46"/>
      <c r="K55" s="46"/>
      <c r="L55" s="46"/>
    </row>
    <row r="56" spans="1:12" ht="15.75" customHeight="1" hidden="1">
      <c r="A56" s="78" t="s">
        <v>40</v>
      </c>
      <c r="B56" s="46"/>
      <c r="C56" s="46" t="e">
        <f>#REF!-D56</f>
        <v>#REF!</v>
      </c>
      <c r="D56" s="46">
        <f t="shared" si="9"/>
        <v>0</v>
      </c>
      <c r="E56" s="46"/>
      <c r="F56" s="46"/>
      <c r="G56" s="46"/>
      <c r="H56" s="46"/>
      <c r="I56" s="46"/>
      <c r="J56" s="46"/>
      <c r="K56" s="46"/>
      <c r="L56" s="46"/>
    </row>
    <row r="57" spans="1:12" ht="1.5" customHeight="1">
      <c r="A57" s="78" t="s">
        <v>41</v>
      </c>
      <c r="B57" s="46"/>
      <c r="C57" s="46"/>
      <c r="D57" s="46">
        <f t="shared" si="9"/>
        <v>0</v>
      </c>
      <c r="E57" s="46"/>
      <c r="F57" s="46"/>
      <c r="G57" s="46"/>
      <c r="H57" s="46"/>
      <c r="I57" s="46"/>
      <c r="J57" s="46"/>
      <c r="K57" s="46"/>
      <c r="L57" s="46"/>
    </row>
    <row r="58" spans="1:12" ht="15.75">
      <c r="A58" s="77" t="s">
        <v>123</v>
      </c>
      <c r="B58" s="46">
        <f>C58+D58</f>
        <v>130400</v>
      </c>
      <c r="C58" s="46">
        <v>35000</v>
      </c>
      <c r="D58" s="46">
        <f t="shared" si="9"/>
        <v>95400</v>
      </c>
      <c r="E58" s="46">
        <v>15400</v>
      </c>
      <c r="F58" s="46">
        <v>6150</v>
      </c>
      <c r="G58" s="46">
        <v>7150</v>
      </c>
      <c r="H58" s="46">
        <v>13800</v>
      </c>
      <c r="I58" s="46">
        <v>2650</v>
      </c>
      <c r="J58" s="46">
        <v>6600</v>
      </c>
      <c r="K58" s="46">
        <v>29000</v>
      </c>
      <c r="L58" s="46">
        <v>14650</v>
      </c>
    </row>
    <row r="59" spans="1:12" ht="15" customHeight="1">
      <c r="A59" s="77" t="s">
        <v>124</v>
      </c>
      <c r="B59" s="46">
        <f>C59+D59</f>
        <v>13000</v>
      </c>
      <c r="C59" s="46"/>
      <c r="D59" s="46">
        <f t="shared" si="9"/>
        <v>13000</v>
      </c>
      <c r="E59" s="46">
        <v>900</v>
      </c>
      <c r="F59" s="46">
        <v>400</v>
      </c>
      <c r="G59" s="46">
        <v>3300</v>
      </c>
      <c r="H59" s="46">
        <v>2000</v>
      </c>
      <c r="I59" s="46">
        <v>200</v>
      </c>
      <c r="J59" s="46">
        <v>900</v>
      </c>
      <c r="K59" s="46">
        <v>4500</v>
      </c>
      <c r="L59" s="46">
        <v>800</v>
      </c>
    </row>
    <row r="60" spans="1:12" ht="0.75" customHeight="1" hidden="1">
      <c r="A60" s="77" t="s">
        <v>108</v>
      </c>
      <c r="B60" s="46"/>
      <c r="C60" s="46"/>
      <c r="D60" s="46"/>
      <c r="E60" s="46"/>
      <c r="F60" s="46"/>
      <c r="G60" s="46"/>
      <c r="H60" s="46"/>
      <c r="I60" s="46"/>
      <c r="J60" s="46"/>
      <c r="K60" s="46"/>
      <c r="L60" s="46"/>
    </row>
    <row r="61" spans="1:12" ht="15.75" customHeight="1" hidden="1">
      <c r="A61" s="80" t="s">
        <v>109</v>
      </c>
      <c r="B61" s="46"/>
      <c r="C61" s="46"/>
      <c r="D61" s="46">
        <f>SUM(E61:L61)</f>
        <v>0</v>
      </c>
      <c r="E61" s="46"/>
      <c r="F61" s="46"/>
      <c r="G61" s="46"/>
      <c r="H61" s="46"/>
      <c r="I61" s="46"/>
      <c r="J61" s="46"/>
      <c r="K61" s="46"/>
      <c r="L61" s="46"/>
    </row>
    <row r="62" spans="1:12" ht="15.75" customHeight="1">
      <c r="A62" s="77" t="s">
        <v>125</v>
      </c>
      <c r="B62" s="46">
        <f>C62+D62</f>
        <v>22000</v>
      </c>
      <c r="C62" s="46">
        <v>12000</v>
      </c>
      <c r="D62" s="46">
        <f>SUM(E62:L62)</f>
        <v>10000</v>
      </c>
      <c r="E62" s="46">
        <f>2450+80</f>
        <v>2530</v>
      </c>
      <c r="F62" s="46">
        <v>1310</v>
      </c>
      <c r="G62" s="46">
        <v>1760</v>
      </c>
      <c r="H62" s="46">
        <v>875</v>
      </c>
      <c r="I62" s="46">
        <f>140+75</f>
        <v>215</v>
      </c>
      <c r="J62" s="46">
        <v>2040</v>
      </c>
      <c r="K62" s="46">
        <v>400</v>
      </c>
      <c r="L62" s="46">
        <v>870</v>
      </c>
    </row>
    <row r="63" spans="1:12" s="5" customFormat="1" ht="15.75" customHeight="1">
      <c r="A63" s="33" t="s">
        <v>42</v>
      </c>
      <c r="B63" s="45">
        <f>SUM(B64:B65)</f>
        <v>12000</v>
      </c>
      <c r="C63" s="45">
        <f>SUM(C64:C65)</f>
        <v>12000</v>
      </c>
      <c r="D63" s="45"/>
      <c r="E63" s="45"/>
      <c r="F63" s="45"/>
      <c r="G63" s="45"/>
      <c r="H63" s="45"/>
      <c r="I63" s="45"/>
      <c r="J63" s="45"/>
      <c r="K63" s="45"/>
      <c r="L63" s="45"/>
    </row>
    <row r="64" spans="1:12" ht="13.5" customHeight="1">
      <c r="A64" s="6" t="s">
        <v>43</v>
      </c>
      <c r="B64" s="46">
        <f>C64+D64</f>
        <v>4500</v>
      </c>
      <c r="C64" s="46">
        <v>4500</v>
      </c>
      <c r="D64" s="46"/>
      <c r="E64" s="46"/>
      <c r="F64" s="46"/>
      <c r="G64" s="46"/>
      <c r="H64" s="46"/>
      <c r="I64" s="46"/>
      <c r="J64" s="46"/>
      <c r="K64" s="46"/>
      <c r="L64" s="46"/>
    </row>
    <row r="65" spans="1:12" ht="15" customHeight="1">
      <c r="A65" s="6" t="s">
        <v>44</v>
      </c>
      <c r="B65" s="46">
        <f>C65+D65</f>
        <v>7500</v>
      </c>
      <c r="C65" s="46">
        <v>7500</v>
      </c>
      <c r="D65" s="46"/>
      <c r="E65" s="46"/>
      <c r="F65" s="46"/>
      <c r="G65" s="46"/>
      <c r="H65" s="46"/>
      <c r="I65" s="46"/>
      <c r="J65" s="46"/>
      <c r="K65" s="46"/>
      <c r="L65" s="46"/>
    </row>
    <row r="66" spans="1:12" s="5" customFormat="1" ht="18" customHeight="1">
      <c r="A66" s="33" t="s">
        <v>45</v>
      </c>
      <c r="B66" s="45"/>
      <c r="C66" s="46"/>
      <c r="D66" s="46"/>
      <c r="E66" s="45"/>
      <c r="F66" s="45"/>
      <c r="G66" s="45"/>
      <c r="H66" s="45"/>
      <c r="I66" s="45"/>
      <c r="J66" s="45"/>
      <c r="K66" s="45"/>
      <c r="L66" s="45"/>
    </row>
    <row r="67" spans="1:12" s="5" customFormat="1" ht="18.75" customHeight="1">
      <c r="A67" s="33" t="s">
        <v>46</v>
      </c>
      <c r="B67" s="45"/>
      <c r="C67" s="46"/>
      <c r="D67" s="46"/>
      <c r="E67" s="45"/>
      <c r="F67" s="45"/>
      <c r="G67" s="45"/>
      <c r="H67" s="45"/>
      <c r="I67" s="45"/>
      <c r="J67" s="45"/>
      <c r="K67" s="45"/>
      <c r="L67" s="45"/>
    </row>
    <row r="68" spans="1:12" s="5" customFormat="1" ht="31.5">
      <c r="A68" s="33" t="s">
        <v>47</v>
      </c>
      <c r="B68" s="45">
        <f>SUM(B69:B74)</f>
        <v>133000</v>
      </c>
      <c r="C68" s="45">
        <f>SUM(C69:C74)</f>
        <v>91600</v>
      </c>
      <c r="D68" s="45">
        <f>SUM(D69:D74)</f>
        <v>41400</v>
      </c>
      <c r="E68" s="45">
        <f>SUM(E69:E74)</f>
        <v>3000</v>
      </c>
      <c r="F68" s="45">
        <f aca="true" t="shared" si="10" ref="F68:L68">SUM(F69:F74)</f>
        <v>4200</v>
      </c>
      <c r="G68" s="45">
        <f t="shared" si="10"/>
        <v>8200</v>
      </c>
      <c r="H68" s="45">
        <f t="shared" si="10"/>
        <v>6000</v>
      </c>
      <c r="I68" s="45">
        <f t="shared" si="10"/>
        <v>2200</v>
      </c>
      <c r="J68" s="45">
        <f t="shared" si="10"/>
        <v>5400</v>
      </c>
      <c r="K68" s="45">
        <f t="shared" si="10"/>
        <v>8200</v>
      </c>
      <c r="L68" s="45">
        <f t="shared" si="10"/>
        <v>4200</v>
      </c>
    </row>
    <row r="69" spans="1:12" ht="15.75">
      <c r="A69" s="78" t="s">
        <v>110</v>
      </c>
      <c r="B69" s="46">
        <f aca="true" t="shared" si="11" ref="B69:B74">C69+D69</f>
        <v>50000</v>
      </c>
      <c r="C69" s="46">
        <v>50000</v>
      </c>
      <c r="D69" s="46">
        <f aca="true" t="shared" si="12" ref="D69:D74">SUM(E69:L69)</f>
        <v>0</v>
      </c>
      <c r="E69" s="46"/>
      <c r="F69" s="46"/>
      <c r="G69" s="46"/>
      <c r="H69" s="46"/>
      <c r="I69" s="46"/>
      <c r="J69" s="46"/>
      <c r="K69" s="46"/>
      <c r="L69" s="46"/>
    </row>
    <row r="70" spans="1:12" ht="15.75">
      <c r="A70" s="78" t="s">
        <v>111</v>
      </c>
      <c r="B70" s="46">
        <f t="shared" si="11"/>
        <v>12000</v>
      </c>
      <c r="C70" s="46">
        <v>4250</v>
      </c>
      <c r="D70" s="46">
        <f t="shared" si="12"/>
        <v>7750</v>
      </c>
      <c r="E70" s="46">
        <v>1000</v>
      </c>
      <c r="F70" s="46">
        <v>1500</v>
      </c>
      <c r="G70" s="46">
        <v>1300</v>
      </c>
      <c r="H70" s="46">
        <v>1200</v>
      </c>
      <c r="I70" s="46">
        <v>350</v>
      </c>
      <c r="J70" s="46">
        <v>750</v>
      </c>
      <c r="K70" s="46">
        <v>1000</v>
      </c>
      <c r="L70" s="46">
        <v>650</v>
      </c>
    </row>
    <row r="71" spans="1:12" ht="15.75">
      <c r="A71" s="78" t="s">
        <v>112</v>
      </c>
      <c r="B71" s="46">
        <f t="shared" si="11"/>
        <v>24000</v>
      </c>
      <c r="C71" s="46">
        <v>11000</v>
      </c>
      <c r="D71" s="46">
        <f t="shared" si="12"/>
        <v>13000</v>
      </c>
      <c r="E71" s="46">
        <v>400</v>
      </c>
      <c r="F71" s="46">
        <v>200</v>
      </c>
      <c r="G71" s="46">
        <v>2500</v>
      </c>
      <c r="H71" s="46">
        <v>2000</v>
      </c>
      <c r="I71" s="46">
        <v>500</v>
      </c>
      <c r="J71" s="46">
        <v>1900</v>
      </c>
      <c r="K71" s="46">
        <v>4000</v>
      </c>
      <c r="L71" s="46">
        <v>1500</v>
      </c>
    </row>
    <row r="72" spans="1:12" ht="15.75">
      <c r="A72" s="78" t="s">
        <v>62</v>
      </c>
      <c r="B72" s="46">
        <f t="shared" si="11"/>
        <v>10000</v>
      </c>
      <c r="C72" s="46"/>
      <c r="D72" s="46">
        <f t="shared" si="12"/>
        <v>10000</v>
      </c>
      <c r="E72" s="46">
        <v>800</v>
      </c>
      <c r="F72" s="46">
        <v>1000</v>
      </c>
      <c r="G72" s="46">
        <v>3000</v>
      </c>
      <c r="H72" s="46">
        <v>1500</v>
      </c>
      <c r="I72" s="46">
        <v>600</v>
      </c>
      <c r="J72" s="46">
        <v>1100</v>
      </c>
      <c r="K72" s="46">
        <v>1000</v>
      </c>
      <c r="L72" s="46">
        <v>1000</v>
      </c>
    </row>
    <row r="73" spans="1:12" ht="15.75">
      <c r="A73" s="78" t="s">
        <v>113</v>
      </c>
      <c r="B73" s="46">
        <f t="shared" si="11"/>
        <v>6500</v>
      </c>
      <c r="C73" s="46">
        <v>4550</v>
      </c>
      <c r="D73" s="46">
        <f t="shared" si="12"/>
        <v>1950</v>
      </c>
      <c r="E73" s="46">
        <v>450</v>
      </c>
      <c r="F73" s="46">
        <v>80</v>
      </c>
      <c r="G73" s="46">
        <v>450</v>
      </c>
      <c r="H73" s="46">
        <v>130</v>
      </c>
      <c r="I73" s="46">
        <v>170</v>
      </c>
      <c r="J73" s="46">
        <v>250</v>
      </c>
      <c r="K73" s="46">
        <v>350</v>
      </c>
      <c r="L73" s="46">
        <v>70</v>
      </c>
    </row>
    <row r="74" spans="1:12" ht="15.75">
      <c r="A74" s="78" t="s">
        <v>114</v>
      </c>
      <c r="B74" s="46">
        <f t="shared" si="11"/>
        <v>30500</v>
      </c>
      <c r="C74" s="46">
        <v>21800</v>
      </c>
      <c r="D74" s="46">
        <f t="shared" si="12"/>
        <v>8700</v>
      </c>
      <c r="E74" s="46">
        <v>350</v>
      </c>
      <c r="F74" s="46">
        <v>1420</v>
      </c>
      <c r="G74" s="46">
        <v>950</v>
      </c>
      <c r="H74" s="46">
        <v>1170</v>
      </c>
      <c r="I74" s="46">
        <v>580</v>
      </c>
      <c r="J74" s="46">
        <v>1400</v>
      </c>
      <c r="K74" s="46">
        <v>1850</v>
      </c>
      <c r="L74" s="46">
        <v>980</v>
      </c>
    </row>
    <row r="75" spans="1:12" ht="15.75">
      <c r="A75" s="36" t="s">
        <v>48</v>
      </c>
      <c r="B75" s="45">
        <f aca="true" t="shared" si="13" ref="B75:L75">B76+B91</f>
        <v>2369992</v>
      </c>
      <c r="C75" s="45">
        <f t="shared" si="13"/>
        <v>1098583</v>
      </c>
      <c r="D75" s="45">
        <f t="shared" si="13"/>
        <v>1271409</v>
      </c>
      <c r="E75" s="45">
        <f t="shared" si="13"/>
        <v>130153</v>
      </c>
      <c r="F75" s="45">
        <f t="shared" si="13"/>
        <v>133995</v>
      </c>
      <c r="G75" s="45">
        <f t="shared" si="13"/>
        <v>248421</v>
      </c>
      <c r="H75" s="45">
        <f t="shared" si="13"/>
        <v>163477</v>
      </c>
      <c r="I75" s="45">
        <f t="shared" si="13"/>
        <v>97800</v>
      </c>
      <c r="J75" s="45">
        <f t="shared" si="13"/>
        <v>180234</v>
      </c>
      <c r="K75" s="45">
        <f t="shared" si="13"/>
        <v>202182</v>
      </c>
      <c r="L75" s="45">
        <f t="shared" si="13"/>
        <v>115147</v>
      </c>
    </row>
    <row r="76" spans="1:12" ht="15.75">
      <c r="A76" s="36" t="s">
        <v>17</v>
      </c>
      <c r="B76" s="45">
        <f>B77+B80+B86+B87+B85+B88+B89+B90</f>
        <v>2236992</v>
      </c>
      <c r="C76" s="45">
        <f>C77+C80+C86+C87+C88+C89+C90</f>
        <v>1028783</v>
      </c>
      <c r="D76" s="45">
        <f>D77+D80+D86+D87+D88+D89+D90</f>
        <v>1230009</v>
      </c>
      <c r="E76" s="45">
        <f>E77+E80++E85+E86+E87+E88+E89+E90</f>
        <v>127153</v>
      </c>
      <c r="F76" s="45">
        <f aca="true" t="shared" si="14" ref="F76:L76">F77+F80++F85+F86+F87+F88+F89+F90</f>
        <v>129795</v>
      </c>
      <c r="G76" s="45">
        <f t="shared" si="14"/>
        <v>240221</v>
      </c>
      <c r="H76" s="45">
        <f t="shared" si="14"/>
        <v>157477</v>
      </c>
      <c r="I76" s="45">
        <f t="shared" si="14"/>
        <v>95600</v>
      </c>
      <c r="J76" s="45">
        <f t="shared" si="14"/>
        <v>174834</v>
      </c>
      <c r="K76" s="45">
        <f t="shared" si="14"/>
        <v>193982</v>
      </c>
      <c r="L76" s="45">
        <f t="shared" si="14"/>
        <v>110947</v>
      </c>
    </row>
    <row r="77" spans="1:12" ht="15.75">
      <c r="A77" s="81" t="s">
        <v>49</v>
      </c>
      <c r="B77" s="45">
        <f>B78+B79</f>
        <v>1294780</v>
      </c>
      <c r="C77" s="45">
        <f>C78+C79</f>
        <v>836990</v>
      </c>
      <c r="D77" s="45">
        <f>SUM(E77:L77)</f>
        <v>457790</v>
      </c>
      <c r="E77" s="45">
        <f>E78+E79</f>
        <v>65800</v>
      </c>
      <c r="F77" s="45">
        <f aca="true" t="shared" si="15" ref="F77:L77">F78+F79</f>
        <v>44550</v>
      </c>
      <c r="G77" s="45">
        <f t="shared" si="15"/>
        <v>91250</v>
      </c>
      <c r="H77" s="45">
        <f t="shared" si="15"/>
        <v>53760</v>
      </c>
      <c r="I77" s="45">
        <f t="shared" si="15"/>
        <v>11020</v>
      </c>
      <c r="J77" s="45">
        <f t="shared" si="15"/>
        <v>58240</v>
      </c>
      <c r="K77" s="45">
        <f t="shared" si="15"/>
        <v>83080</v>
      </c>
      <c r="L77" s="45">
        <f t="shared" si="15"/>
        <v>50090</v>
      </c>
    </row>
    <row r="78" spans="1:12" ht="15.75">
      <c r="A78" s="35" t="s">
        <v>50</v>
      </c>
      <c r="B78" s="46">
        <f>B13-B20-B51-B79</f>
        <v>312420</v>
      </c>
      <c r="C78" s="46">
        <f>B78-D78</f>
        <v>151550</v>
      </c>
      <c r="D78" s="46">
        <f>SUM(E78:L78)</f>
        <v>160870</v>
      </c>
      <c r="E78" s="46">
        <f>E13-E41-E42-E44-E57-E59-E79</f>
        <v>28150</v>
      </c>
      <c r="F78" s="46">
        <f aca="true" t="shared" si="16" ref="F78:L78">F13-F41-F42-F44-F57-F59-F79</f>
        <v>13380</v>
      </c>
      <c r="G78" s="46">
        <f t="shared" si="16"/>
        <v>17150</v>
      </c>
      <c r="H78" s="46">
        <f t="shared" si="16"/>
        <v>20080</v>
      </c>
      <c r="I78" s="46">
        <f t="shared" si="16"/>
        <v>5040</v>
      </c>
      <c r="J78" s="46">
        <f t="shared" si="16"/>
        <v>14620</v>
      </c>
      <c r="K78" s="46">
        <f t="shared" si="16"/>
        <v>39190</v>
      </c>
      <c r="L78" s="46">
        <f t="shared" si="16"/>
        <v>23260</v>
      </c>
    </row>
    <row r="79" spans="1:12" ht="15" customHeight="1">
      <c r="A79" s="81" t="s">
        <v>51</v>
      </c>
      <c r="B79" s="46">
        <f>B15+B16+B17+B22+B23+B24+B29+B30+B39+B40+B41+B48+B49</f>
        <v>982360</v>
      </c>
      <c r="C79" s="46">
        <f>B79-D79</f>
        <v>685440</v>
      </c>
      <c r="D79" s="46">
        <f>SUM(E79:L79)</f>
        <v>296920</v>
      </c>
      <c r="E79" s="46">
        <f>E39+E40+E45+E46</f>
        <v>37650</v>
      </c>
      <c r="F79" s="46">
        <f aca="true" t="shared" si="17" ref="F79:L79">F39+F40+F45+F46</f>
        <v>31170</v>
      </c>
      <c r="G79" s="46">
        <f t="shared" si="17"/>
        <v>74100</v>
      </c>
      <c r="H79" s="46">
        <f t="shared" si="17"/>
        <v>33680</v>
      </c>
      <c r="I79" s="46">
        <f t="shared" si="17"/>
        <v>5980</v>
      </c>
      <c r="J79" s="46">
        <f t="shared" si="17"/>
        <v>43620</v>
      </c>
      <c r="K79" s="46">
        <f t="shared" si="17"/>
        <v>43890</v>
      </c>
      <c r="L79" s="46">
        <f t="shared" si="17"/>
        <v>26830</v>
      </c>
    </row>
    <row r="80" spans="1:12" s="42" customFormat="1" ht="14.25" customHeight="1">
      <c r="A80" s="82" t="s">
        <v>52</v>
      </c>
      <c r="B80" s="45">
        <f>SUM(B81:B84)</f>
        <v>500678</v>
      </c>
      <c r="C80" s="45">
        <f>SUM(C81:C84)</f>
        <v>0</v>
      </c>
      <c r="D80" s="45">
        <f>SUM(D81:D85)</f>
        <v>757621</v>
      </c>
      <c r="E80" s="45">
        <f>SUM(E81:E84)</f>
        <v>53381</v>
      </c>
      <c r="F80" s="45">
        <f aca="true" t="shared" si="18" ref="F80:L80">SUM(F81:F84)</f>
        <v>75924</v>
      </c>
      <c r="G80" s="45">
        <f t="shared" si="18"/>
        <v>135005</v>
      </c>
      <c r="H80" s="45">
        <f t="shared" si="18"/>
        <v>95209</v>
      </c>
      <c r="I80" s="45">
        <f t="shared" si="18"/>
        <v>74656</v>
      </c>
      <c r="J80" s="45">
        <f t="shared" si="18"/>
        <v>104406</v>
      </c>
      <c r="K80" s="45">
        <f t="shared" si="18"/>
        <v>94339</v>
      </c>
      <c r="L80" s="45">
        <f t="shared" si="18"/>
        <v>52535</v>
      </c>
    </row>
    <row r="81" spans="1:12" ht="15.75" customHeight="1">
      <c r="A81" s="35" t="s">
        <v>53</v>
      </c>
      <c r="B81" s="46">
        <v>178994</v>
      </c>
      <c r="C81" s="46"/>
      <c r="D81" s="46">
        <f aca="true" t="shared" si="19" ref="D81:D86">SUM(E81:L81)</f>
        <v>355045</v>
      </c>
      <c r="E81" s="46">
        <v>14512</v>
      </c>
      <c r="F81" s="46">
        <v>47139</v>
      </c>
      <c r="G81" s="46">
        <v>63898</v>
      </c>
      <c r="H81" s="46">
        <v>55739</v>
      </c>
      <c r="I81" s="46">
        <v>39816</v>
      </c>
      <c r="J81" s="46">
        <v>59279</v>
      </c>
      <c r="K81" s="46">
        <v>47987</v>
      </c>
      <c r="L81" s="46">
        <v>26675</v>
      </c>
    </row>
    <row r="82" spans="1:12" ht="15.75" customHeight="1">
      <c r="A82" s="35" t="s">
        <v>54</v>
      </c>
      <c r="B82" s="46">
        <f>130310+55000</f>
        <v>185310</v>
      </c>
      <c r="C82" s="46"/>
      <c r="D82" s="46">
        <f t="shared" si="19"/>
        <v>216080</v>
      </c>
      <c r="E82" s="46">
        <v>27500</v>
      </c>
      <c r="F82" s="46">
        <v>18700</v>
      </c>
      <c r="G82" s="46">
        <v>40270</v>
      </c>
      <c r="H82" s="46">
        <v>23450</v>
      </c>
      <c r="I82" s="46">
        <v>23950</v>
      </c>
      <c r="J82" s="46">
        <v>26310</v>
      </c>
      <c r="K82" s="46">
        <v>35200</v>
      </c>
      <c r="L82" s="46">
        <v>20700</v>
      </c>
    </row>
    <row r="83" spans="1:12" ht="15.75">
      <c r="A83" s="35" t="s">
        <v>55</v>
      </c>
      <c r="B83" s="46">
        <f>82224+13894</f>
        <v>96118</v>
      </c>
      <c r="C83" s="46"/>
      <c r="D83" s="46">
        <f t="shared" si="19"/>
        <v>21238</v>
      </c>
      <c r="E83" s="46">
        <v>125</v>
      </c>
      <c r="F83" s="46">
        <v>3303</v>
      </c>
      <c r="G83" s="46">
        <v>5254</v>
      </c>
      <c r="H83" s="46">
        <v>4463</v>
      </c>
      <c r="I83" s="46">
        <v>2359</v>
      </c>
      <c r="J83" s="46">
        <v>3525</v>
      </c>
      <c r="K83" s="46">
        <v>1187</v>
      </c>
      <c r="L83" s="46">
        <v>1022</v>
      </c>
    </row>
    <row r="84" spans="1:12" ht="20.25" customHeight="1">
      <c r="A84" s="35" t="s">
        <v>56</v>
      </c>
      <c r="B84" s="46">
        <f>14076+26180</f>
        <v>40256</v>
      </c>
      <c r="C84" s="46">
        <v>0</v>
      </c>
      <c r="D84" s="46">
        <f>SUM(E84:L84)</f>
        <v>93092</v>
      </c>
      <c r="E84" s="46">
        <f>4308+6936</f>
        <v>11244</v>
      </c>
      <c r="F84" s="46">
        <f>1059+5723</f>
        <v>6782</v>
      </c>
      <c r="G84" s="46">
        <f>1391+24192</f>
        <v>25583</v>
      </c>
      <c r="H84" s="46">
        <f>1343+10214</f>
        <v>11557</v>
      </c>
      <c r="I84" s="46">
        <f>1043+7488</f>
        <v>8531</v>
      </c>
      <c r="J84" s="46">
        <f>2282+13010</f>
        <v>15292</v>
      </c>
      <c r="K84" s="46">
        <f>1403+8562</f>
        <v>9965</v>
      </c>
      <c r="L84" s="46">
        <f>975+3163</f>
        <v>4138</v>
      </c>
    </row>
    <row r="85" spans="1:12" s="83" customFormat="1" ht="21" customHeight="1">
      <c r="A85" s="46" t="s">
        <v>131</v>
      </c>
      <c r="B85" s="46">
        <f>72166-12766+5000</f>
        <v>64400</v>
      </c>
      <c r="C85" s="46"/>
      <c r="D85" s="46">
        <f t="shared" si="19"/>
        <v>72166</v>
      </c>
      <c r="E85" s="46">
        <v>7522</v>
      </c>
      <c r="F85" s="46">
        <v>9321</v>
      </c>
      <c r="G85" s="46">
        <v>13066</v>
      </c>
      <c r="H85" s="46">
        <v>7739</v>
      </c>
      <c r="I85" s="46">
        <v>6634</v>
      </c>
      <c r="J85" s="46">
        <v>11228</v>
      </c>
      <c r="K85" s="46">
        <v>12344</v>
      </c>
      <c r="L85" s="46">
        <v>4312</v>
      </c>
    </row>
    <row r="86" spans="1:12" s="5" customFormat="1" ht="19.5" customHeight="1">
      <c r="A86" s="84" t="s">
        <v>57</v>
      </c>
      <c r="B86" s="45">
        <f>C86+D86</f>
        <v>158625</v>
      </c>
      <c r="C86" s="45">
        <v>144027</v>
      </c>
      <c r="D86" s="45">
        <f t="shared" si="19"/>
        <v>14598</v>
      </c>
      <c r="E86" s="45">
        <v>450</v>
      </c>
      <c r="F86" s="45">
        <v>0</v>
      </c>
      <c r="G86" s="45">
        <v>900</v>
      </c>
      <c r="H86" s="45">
        <v>769</v>
      </c>
      <c r="I86" s="45">
        <f>3290</f>
        <v>3290</v>
      </c>
      <c r="J86" s="45">
        <v>960</v>
      </c>
      <c r="K86" s="45">
        <v>4219</v>
      </c>
      <c r="L86" s="45">
        <v>4010</v>
      </c>
    </row>
    <row r="87" spans="1:12" s="7" customFormat="1" ht="1.5" customHeight="1">
      <c r="A87" s="81" t="s">
        <v>58</v>
      </c>
      <c r="B87" s="45">
        <f>C87+D87</f>
        <v>0</v>
      </c>
      <c r="C87" s="46"/>
      <c r="D87" s="46"/>
      <c r="E87" s="46"/>
      <c r="F87" s="46"/>
      <c r="G87" s="46"/>
      <c r="H87" s="46"/>
      <c r="I87" s="46"/>
      <c r="J87" s="46"/>
      <c r="K87" s="46"/>
      <c r="L87" s="46"/>
    </row>
    <row r="88" spans="1:12" s="7" customFormat="1" ht="15.75" customHeight="1" hidden="1">
      <c r="A88" s="81" t="s">
        <v>59</v>
      </c>
      <c r="B88" s="45">
        <f>C88+D88</f>
        <v>0</v>
      </c>
      <c r="C88" s="46"/>
      <c r="D88" s="46"/>
      <c r="E88" s="46"/>
      <c r="F88" s="46"/>
      <c r="G88" s="46"/>
      <c r="H88" s="46"/>
      <c r="I88" s="46"/>
      <c r="J88" s="46"/>
      <c r="K88" s="46"/>
      <c r="L88" s="46"/>
    </row>
    <row r="89" spans="1:12" ht="31.5">
      <c r="A89" s="81" t="s">
        <v>132</v>
      </c>
      <c r="B89" s="46">
        <f>C89+D89</f>
        <v>30000</v>
      </c>
      <c r="C89" s="46">
        <v>30000</v>
      </c>
      <c r="D89" s="46"/>
      <c r="E89" s="46"/>
      <c r="F89" s="46"/>
      <c r="G89" s="46"/>
      <c r="H89" s="46"/>
      <c r="I89" s="46"/>
      <c r="J89" s="46"/>
      <c r="K89" s="46"/>
      <c r="L89" s="46"/>
    </row>
    <row r="90" spans="1:12" s="43" customFormat="1" ht="18.75" customHeight="1">
      <c r="A90" s="84" t="s">
        <v>60</v>
      </c>
      <c r="B90" s="45">
        <v>188509</v>
      </c>
      <c r="C90" s="45">
        <v>17766</v>
      </c>
      <c r="D90" s="45"/>
      <c r="E90" s="45"/>
      <c r="F90" s="45"/>
      <c r="G90" s="45"/>
      <c r="H90" s="45"/>
      <c r="I90" s="45"/>
      <c r="J90" s="45"/>
      <c r="K90" s="45"/>
      <c r="L90" s="45"/>
    </row>
    <row r="91" spans="1:12" s="5" customFormat="1" ht="15.75">
      <c r="A91" s="29" t="s">
        <v>102</v>
      </c>
      <c r="B91" s="47">
        <f>SUM(B92:B97)</f>
        <v>133000</v>
      </c>
      <c r="C91" s="47">
        <f>SUM(C92:C96)</f>
        <v>69800</v>
      </c>
      <c r="D91" s="47">
        <f aca="true" t="shared" si="20" ref="D91:L91">SUM(D92:D97)</f>
        <v>41400</v>
      </c>
      <c r="E91" s="47">
        <f t="shared" si="20"/>
        <v>3000</v>
      </c>
      <c r="F91" s="47">
        <f t="shared" si="20"/>
        <v>4200</v>
      </c>
      <c r="G91" s="47">
        <f t="shared" si="20"/>
        <v>8200</v>
      </c>
      <c r="H91" s="47">
        <f t="shared" si="20"/>
        <v>6000</v>
      </c>
      <c r="I91" s="47">
        <f t="shared" si="20"/>
        <v>2200</v>
      </c>
      <c r="J91" s="47">
        <f t="shared" si="20"/>
        <v>5400</v>
      </c>
      <c r="K91" s="47">
        <f t="shared" si="20"/>
        <v>8200</v>
      </c>
      <c r="L91" s="47">
        <f t="shared" si="20"/>
        <v>4200</v>
      </c>
    </row>
    <row r="92" spans="1:12" ht="0.75" customHeight="1">
      <c r="A92" s="78" t="s">
        <v>110</v>
      </c>
      <c r="B92" s="46">
        <f aca="true" t="shared" si="21" ref="B92:B97">C92+D92</f>
        <v>50000</v>
      </c>
      <c r="C92" s="46">
        <v>50000</v>
      </c>
      <c r="D92" s="46">
        <f aca="true" t="shared" si="22" ref="D92:D97">SUM(E92:L92)</f>
        <v>0</v>
      </c>
      <c r="E92" s="46"/>
      <c r="F92" s="46"/>
      <c r="G92" s="46"/>
      <c r="H92" s="46"/>
      <c r="I92" s="46"/>
      <c r="J92" s="46"/>
      <c r="K92" s="46"/>
      <c r="L92" s="46"/>
    </row>
    <row r="93" spans="1:12" ht="15.75" hidden="1">
      <c r="A93" s="78" t="s">
        <v>111</v>
      </c>
      <c r="B93" s="46">
        <f t="shared" si="21"/>
        <v>12000</v>
      </c>
      <c r="C93" s="46">
        <v>4250</v>
      </c>
      <c r="D93" s="46">
        <f t="shared" si="22"/>
        <v>7750</v>
      </c>
      <c r="E93" s="46">
        <v>1000</v>
      </c>
      <c r="F93" s="46">
        <v>1500</v>
      </c>
      <c r="G93" s="46">
        <v>1300</v>
      </c>
      <c r="H93" s="46">
        <v>1200</v>
      </c>
      <c r="I93" s="46">
        <v>350</v>
      </c>
      <c r="J93" s="46">
        <v>750</v>
      </c>
      <c r="K93" s="46">
        <v>1000</v>
      </c>
      <c r="L93" s="46">
        <v>650</v>
      </c>
    </row>
    <row r="94" spans="1:12" ht="15.75" hidden="1">
      <c r="A94" s="78" t="s">
        <v>112</v>
      </c>
      <c r="B94" s="46">
        <f t="shared" si="21"/>
        <v>24000</v>
      </c>
      <c r="C94" s="46">
        <v>11000</v>
      </c>
      <c r="D94" s="46">
        <f t="shared" si="22"/>
        <v>13000</v>
      </c>
      <c r="E94" s="46">
        <v>400</v>
      </c>
      <c r="F94" s="46">
        <v>200</v>
      </c>
      <c r="G94" s="46">
        <v>2500</v>
      </c>
      <c r="H94" s="46">
        <v>2000</v>
      </c>
      <c r="I94" s="46">
        <v>500</v>
      </c>
      <c r="J94" s="46">
        <v>1900</v>
      </c>
      <c r="K94" s="46">
        <v>4000</v>
      </c>
      <c r="L94" s="46">
        <v>1500</v>
      </c>
    </row>
    <row r="95" spans="1:12" ht="15.75" hidden="1">
      <c r="A95" s="78" t="s">
        <v>62</v>
      </c>
      <c r="B95" s="46">
        <f t="shared" si="21"/>
        <v>10000</v>
      </c>
      <c r="C95" s="46"/>
      <c r="D95" s="46">
        <f t="shared" si="22"/>
        <v>10000</v>
      </c>
      <c r="E95" s="46">
        <v>800</v>
      </c>
      <c r="F95" s="46">
        <v>1000</v>
      </c>
      <c r="G95" s="46">
        <v>3000</v>
      </c>
      <c r="H95" s="46">
        <v>1500</v>
      </c>
      <c r="I95" s="46">
        <v>600</v>
      </c>
      <c r="J95" s="46">
        <v>1100</v>
      </c>
      <c r="K95" s="46">
        <v>1000</v>
      </c>
      <c r="L95" s="46">
        <v>1000</v>
      </c>
    </row>
    <row r="96" spans="1:12" ht="15.75" hidden="1">
      <c r="A96" s="78" t="s">
        <v>113</v>
      </c>
      <c r="B96" s="46">
        <f t="shared" si="21"/>
        <v>6500</v>
      </c>
      <c r="C96" s="46">
        <v>4550</v>
      </c>
      <c r="D96" s="46">
        <f t="shared" si="22"/>
        <v>1950</v>
      </c>
      <c r="E96" s="46">
        <v>450</v>
      </c>
      <c r="F96" s="46">
        <v>80</v>
      </c>
      <c r="G96" s="46">
        <v>450</v>
      </c>
      <c r="H96" s="46">
        <v>130</v>
      </c>
      <c r="I96" s="46">
        <v>170</v>
      </c>
      <c r="J96" s="46">
        <v>250</v>
      </c>
      <c r="K96" s="46">
        <v>350</v>
      </c>
      <c r="L96" s="46">
        <v>70</v>
      </c>
    </row>
    <row r="97" spans="1:12" ht="15.75" hidden="1">
      <c r="A97" s="85" t="s">
        <v>114</v>
      </c>
      <c r="B97" s="48">
        <f t="shared" si="21"/>
        <v>30500</v>
      </c>
      <c r="C97" s="48">
        <v>21800</v>
      </c>
      <c r="D97" s="48">
        <f t="shared" si="22"/>
        <v>8700</v>
      </c>
      <c r="E97" s="48">
        <v>350</v>
      </c>
      <c r="F97" s="48">
        <v>1420</v>
      </c>
      <c r="G97" s="48">
        <v>950</v>
      </c>
      <c r="H97" s="48">
        <v>1170</v>
      </c>
      <c r="I97" s="48">
        <v>580</v>
      </c>
      <c r="J97" s="48">
        <v>1400</v>
      </c>
      <c r="K97" s="48">
        <v>1850</v>
      </c>
      <c r="L97" s="48">
        <v>980</v>
      </c>
    </row>
    <row r="98" ht="15.75" hidden="1"/>
    <row r="99" spans="1:12" ht="15.75" hidden="1">
      <c r="A99" s="34" t="s">
        <v>52</v>
      </c>
      <c r="D99" s="1" t="e">
        <f>SUM(E99:L99)</f>
        <v>#REF!</v>
      </c>
      <c r="E99" s="1" t="e">
        <f aca="true" t="shared" si="23" ref="E99:L99">SUM(E100:E103)</f>
        <v>#REF!</v>
      </c>
      <c r="F99" s="1" t="e">
        <f t="shared" si="23"/>
        <v>#REF!</v>
      </c>
      <c r="G99" s="1" t="e">
        <f t="shared" si="23"/>
        <v>#REF!</v>
      </c>
      <c r="H99" s="1" t="e">
        <f t="shared" si="23"/>
        <v>#REF!</v>
      </c>
      <c r="I99" s="1" t="e">
        <f t="shared" si="23"/>
        <v>#REF!</v>
      </c>
      <c r="J99" s="1" t="e">
        <f t="shared" si="23"/>
        <v>#REF!</v>
      </c>
      <c r="K99" s="1" t="e">
        <f t="shared" si="23"/>
        <v>#REF!</v>
      </c>
      <c r="L99" s="1" t="e">
        <f t="shared" si="23"/>
        <v>#REF!</v>
      </c>
    </row>
    <row r="100" spans="1:12" ht="15.75" hidden="1">
      <c r="A100" s="35" t="s">
        <v>53</v>
      </c>
      <c r="D100" s="1">
        <f>SUM(E100:L100)</f>
        <v>0</v>
      </c>
      <c r="E100" s="1">
        <f aca="true" t="shared" si="24" ref="E100:L100">E90*25/100</f>
        <v>0</v>
      </c>
      <c r="F100" s="1">
        <f t="shared" si="24"/>
        <v>0</v>
      </c>
      <c r="G100" s="1">
        <f t="shared" si="24"/>
        <v>0</v>
      </c>
      <c r="H100" s="1">
        <f t="shared" si="24"/>
        <v>0</v>
      </c>
      <c r="I100" s="1">
        <f t="shared" si="24"/>
        <v>0</v>
      </c>
      <c r="J100" s="1">
        <f t="shared" si="24"/>
        <v>0</v>
      </c>
      <c r="K100" s="1">
        <f t="shared" si="24"/>
        <v>0</v>
      </c>
      <c r="L100" s="1">
        <f t="shared" si="24"/>
        <v>0</v>
      </c>
    </row>
    <row r="101" spans="1:12" ht="15.75" hidden="1">
      <c r="A101" s="35" t="s">
        <v>54</v>
      </c>
      <c r="D101" s="1" t="e">
        <f>SUM(E101:L101)</f>
        <v>#REF!</v>
      </c>
      <c r="E101" s="1" t="e">
        <f>#REF!*15/100</f>
        <v>#REF!</v>
      </c>
      <c r="F101" s="1" t="e">
        <f>#REF!*15/100</f>
        <v>#REF!</v>
      </c>
      <c r="G101" s="1" t="e">
        <f>#REF!*15/100</f>
        <v>#REF!</v>
      </c>
      <c r="H101" s="1" t="e">
        <f>#REF!*15/100</f>
        <v>#REF!</v>
      </c>
      <c r="I101" s="1" t="e">
        <f>#REF!*25/100</f>
        <v>#REF!</v>
      </c>
      <c r="J101" s="1" t="e">
        <f>#REF!*15/100</f>
        <v>#REF!</v>
      </c>
      <c r="K101" s="1" t="e">
        <f>#REF!*15/100</f>
        <v>#REF!</v>
      </c>
      <c r="L101" s="1" t="e">
        <f>#REF!*25/100</f>
        <v>#REF!</v>
      </c>
    </row>
    <row r="102" spans="1:12" ht="15.75" hidden="1">
      <c r="A102" s="35" t="s">
        <v>55</v>
      </c>
      <c r="D102" s="1" t="e">
        <f>SUM(E102:L102)</f>
        <v>#REF!</v>
      </c>
      <c r="E102" s="1" t="e">
        <f>#REF!*15/100</f>
        <v>#REF!</v>
      </c>
      <c r="F102" s="1" t="e">
        <f>#REF!*15/100</f>
        <v>#REF!</v>
      </c>
      <c r="G102" s="1" t="e">
        <f>#REF!*15/100</f>
        <v>#REF!</v>
      </c>
      <c r="H102" s="1" t="e">
        <f>#REF!*15/100</f>
        <v>#REF!</v>
      </c>
      <c r="I102" s="1" t="e">
        <f>#REF!*15/100</f>
        <v>#REF!</v>
      </c>
      <c r="J102" s="1" t="e">
        <f>#REF!*15/100</f>
        <v>#REF!</v>
      </c>
      <c r="K102" s="1" t="e">
        <f>#REF!*15/100</f>
        <v>#REF!</v>
      </c>
      <c r="L102" s="1" t="e">
        <f>#REF!*15/100</f>
        <v>#REF!</v>
      </c>
    </row>
    <row r="103" spans="1:12" ht="15.75" hidden="1">
      <c r="A103" s="35" t="s">
        <v>56</v>
      </c>
      <c r="D103" s="1" t="e">
        <f>SUM(E103:L103)</f>
        <v>#REF!</v>
      </c>
      <c r="E103" s="1" t="e">
        <f>#REF!*25/100</f>
        <v>#REF!</v>
      </c>
      <c r="F103" s="1" t="e">
        <f>#REF!*25/100</f>
        <v>#REF!</v>
      </c>
      <c r="G103" s="1" t="e">
        <f>#REF!*25/100</f>
        <v>#REF!</v>
      </c>
      <c r="H103" s="1" t="e">
        <f>#REF!*25/100</f>
        <v>#REF!</v>
      </c>
      <c r="I103" s="1" t="e">
        <f>#REF!*25/100</f>
        <v>#REF!</v>
      </c>
      <c r="J103" s="1" t="e">
        <f>#REF!*25/100</f>
        <v>#REF!</v>
      </c>
      <c r="K103" s="1" t="e">
        <f>#REF!*25/100</f>
        <v>#REF!</v>
      </c>
      <c r="L103" s="1" t="e">
        <f>#REF!*25/100</f>
        <v>#REF!</v>
      </c>
    </row>
    <row r="104" spans="5:12" ht="15.75" hidden="1">
      <c r="E104" s="1">
        <v>9614</v>
      </c>
      <c r="F104" s="1">
        <v>3207</v>
      </c>
      <c r="G104" s="1">
        <v>18528</v>
      </c>
      <c r="H104" s="1">
        <v>4841</v>
      </c>
      <c r="I104" s="1">
        <v>2515</v>
      </c>
      <c r="J104" s="1">
        <v>4872</v>
      </c>
      <c r="K104" s="1">
        <v>11749</v>
      </c>
      <c r="L104" s="1">
        <v>5832</v>
      </c>
    </row>
    <row r="105" spans="5:12" ht="15.75" hidden="1">
      <c r="E105" s="1">
        <f aca="true" t="shared" si="25" ref="E105:L105">E83+E91</f>
        <v>3125</v>
      </c>
      <c r="F105" s="1">
        <f t="shared" si="25"/>
        <v>7503</v>
      </c>
      <c r="G105" s="1">
        <f t="shared" si="25"/>
        <v>13454</v>
      </c>
      <c r="H105" s="1">
        <f t="shared" si="25"/>
        <v>10463</v>
      </c>
      <c r="I105" s="1">
        <f t="shared" si="25"/>
        <v>4559</v>
      </c>
      <c r="J105" s="1">
        <f t="shared" si="25"/>
        <v>8925</v>
      </c>
      <c r="K105" s="1">
        <f t="shared" si="25"/>
        <v>9387</v>
      </c>
      <c r="L105" s="1">
        <f t="shared" si="25"/>
        <v>5222</v>
      </c>
    </row>
    <row r="106" spans="5:12" ht="15.75" hidden="1">
      <c r="E106" s="1">
        <f aca="true" t="shared" si="26" ref="E106:L106">E104/E105*100</f>
        <v>307.648</v>
      </c>
      <c r="F106" s="1">
        <f t="shared" si="26"/>
        <v>42.74290283886445</v>
      </c>
      <c r="G106" s="1">
        <f t="shared" si="26"/>
        <v>137.71369109558495</v>
      </c>
      <c r="H106" s="1">
        <f t="shared" si="26"/>
        <v>46.26780082194399</v>
      </c>
      <c r="I106" s="1">
        <f t="shared" si="26"/>
        <v>55.1656064926519</v>
      </c>
      <c r="J106" s="1">
        <f t="shared" si="26"/>
        <v>54.58823529411765</v>
      </c>
      <c r="K106" s="1">
        <f t="shared" si="26"/>
        <v>125.16245871950571</v>
      </c>
      <c r="L106" s="1">
        <f t="shared" si="26"/>
        <v>111.68134814247415</v>
      </c>
    </row>
    <row r="107" spans="2:13" ht="15.75" hidden="1">
      <c r="B107" s="1">
        <f>C107+D107</f>
        <v>463000</v>
      </c>
      <c r="C107" s="1">
        <v>320000</v>
      </c>
      <c r="D107" s="1">
        <v>143000</v>
      </c>
      <c r="E107" s="1">
        <f>17163+3255</f>
        <v>20418</v>
      </c>
      <c r="F107" s="1">
        <f>8500+1689</f>
        <v>10189</v>
      </c>
      <c r="G107" s="1">
        <f>29294+6126</f>
        <v>35420</v>
      </c>
      <c r="H107" s="1">
        <f>10507+1401</f>
        <v>11908</v>
      </c>
      <c r="I107" s="1">
        <f>3213+952</f>
        <v>4165</v>
      </c>
      <c r="J107" s="1">
        <f>11427+5075</f>
        <v>16502</v>
      </c>
      <c r="K107" s="1">
        <f>19227+2970</f>
        <v>22197</v>
      </c>
      <c r="L107" s="1">
        <f>9271+2760</f>
        <v>12031</v>
      </c>
      <c r="M107" s="1">
        <f>SUM(E107:L107)</f>
        <v>132830</v>
      </c>
    </row>
    <row r="108" spans="3:13" ht="15.75" hidden="1">
      <c r="C108" s="1">
        <f>C107/(C83+C91)*100</f>
        <v>458.45272206303724</v>
      </c>
      <c r="D108" s="1">
        <f>D107/(D83+D91)*100</f>
        <v>228.2959226028928</v>
      </c>
      <c r="M108" s="1">
        <f>D107/M107*100</f>
        <v>107.65640292102687</v>
      </c>
    </row>
    <row r="109" spans="3:13" ht="15.75" hidden="1">
      <c r="C109" s="1">
        <f>C107/B107*100</f>
        <v>69.11447084233261</v>
      </c>
      <c r="E109" s="1">
        <v>22000</v>
      </c>
      <c r="F109" s="1">
        <v>11000</v>
      </c>
      <c r="G109" s="1">
        <v>38500</v>
      </c>
      <c r="H109" s="1">
        <v>12500</v>
      </c>
      <c r="I109" s="1">
        <v>5000</v>
      </c>
      <c r="J109" s="1">
        <v>17500</v>
      </c>
      <c r="K109" s="1">
        <f>143000-119000</f>
        <v>24000</v>
      </c>
      <c r="L109" s="1">
        <v>12500</v>
      </c>
      <c r="M109" s="1">
        <f>SUM(E109:L109)</f>
        <v>143000</v>
      </c>
    </row>
    <row r="110" spans="5:12" ht="15.75" hidden="1">
      <c r="E110" s="1">
        <f aca="true" t="shared" si="27" ref="E110:L110">E109/(E83+E91)*100</f>
        <v>704</v>
      </c>
      <c r="F110" s="1">
        <f t="shared" si="27"/>
        <v>146.60802345728374</v>
      </c>
      <c r="G110" s="1">
        <f t="shared" si="27"/>
        <v>286.1602497398543</v>
      </c>
      <c r="H110" s="1">
        <f t="shared" si="27"/>
        <v>119.46860365096053</v>
      </c>
      <c r="I110" s="1">
        <f t="shared" si="27"/>
        <v>109.67317394165389</v>
      </c>
      <c r="J110" s="1">
        <f t="shared" si="27"/>
        <v>196.078431372549</v>
      </c>
      <c r="K110" s="1">
        <f t="shared" si="27"/>
        <v>255.6727388942154</v>
      </c>
      <c r="L110" s="1">
        <f t="shared" si="27"/>
        <v>239.37188816545384</v>
      </c>
    </row>
    <row r="111" spans="7:11" ht="15.75" hidden="1">
      <c r="G111" s="1">
        <f>G109-1546</f>
        <v>36954</v>
      </c>
      <c r="K111" s="1">
        <f>K109-3200</f>
        <v>20800</v>
      </c>
    </row>
    <row r="112" spans="7:11" ht="15.75" hidden="1">
      <c r="G112" s="1">
        <f>G83+G91-G56</f>
        <v>13454</v>
      </c>
      <c r="K112" s="1">
        <f>K83+K91-K56</f>
        <v>9387</v>
      </c>
    </row>
    <row r="113" spans="7:11" ht="15.75" hidden="1">
      <c r="G113" s="1">
        <f>G111/G112*100</f>
        <v>274.6692433477033</v>
      </c>
      <c r="K113" s="1">
        <f>K111/K112*100</f>
        <v>221.5830403749867</v>
      </c>
    </row>
    <row r="114" ht="15.75" hidden="1"/>
    <row r="115" spans="8:11" ht="15.75" hidden="1">
      <c r="H115" s="1">
        <v>21288</v>
      </c>
      <c r="K115" s="1">
        <v>17628</v>
      </c>
    </row>
    <row r="116" spans="8:11" ht="15.75" hidden="1">
      <c r="H116" s="1">
        <v>10195</v>
      </c>
      <c r="K116" s="1">
        <v>7935</v>
      </c>
    </row>
    <row r="117" spans="8:11" ht="15.75" hidden="1">
      <c r="H117" s="1">
        <v>1425</v>
      </c>
      <c r="K117" s="1">
        <v>285</v>
      </c>
    </row>
    <row r="118" spans="8:11" ht="15.75" hidden="1">
      <c r="H118" s="1">
        <f>1767+3+36</f>
        <v>1806</v>
      </c>
      <c r="K118" s="1">
        <f>1415+137+156</f>
        <v>1708</v>
      </c>
    </row>
    <row r="119" spans="8:11" ht="15.75" hidden="1">
      <c r="H119" s="1">
        <f>SUM(H115:H118)</f>
        <v>34714</v>
      </c>
      <c r="K119" s="1">
        <f>SUM(K115:K118)</f>
        <v>27556</v>
      </c>
    </row>
    <row r="120" ht="15.75" hidden="1">
      <c r="H120" s="1" t="e">
        <f>H119/H89*100</f>
        <v>#DIV/0!</v>
      </c>
    </row>
    <row r="121" ht="15.75" hidden="1">
      <c r="H121" s="1" t="e">
        <f>H116/#REF!*100</f>
        <v>#REF!</v>
      </c>
    </row>
    <row r="122" ht="15.75" hidden="1"/>
    <row r="123" ht="15.75" hidden="1"/>
    <row r="124" ht="15.75" hidden="1"/>
    <row r="125" ht="15.75" hidden="1"/>
    <row r="126" ht="15.75" hidden="1"/>
    <row r="127" ht="15.75" hidden="1"/>
    <row r="128" ht="15.75" hidden="1"/>
    <row r="129" ht="15.75" hidden="1"/>
    <row r="130" ht="15.75" hidden="1"/>
    <row r="131" ht="15.75" hidden="1"/>
    <row r="132" ht="15.75" hidden="1"/>
    <row r="133" ht="15.75" hidden="1"/>
    <row r="134" ht="15.75" hidden="1"/>
    <row r="135" ht="15.75" hidden="1"/>
    <row r="136" ht="15.75" hidden="1"/>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row r="151" ht="15.75" hidden="1"/>
    <row r="152" ht="15.75" hidden="1"/>
    <row r="153" ht="15.75" hidden="1"/>
    <row r="154" ht="15.75" hidden="1"/>
    <row r="155" ht="15.75" hidden="1"/>
    <row r="156" ht="15.75" hidden="1"/>
    <row r="157" ht="15.75" hidden="1"/>
    <row r="158" ht="15.75" hidden="1"/>
    <row r="159" ht="15.75" hidden="1"/>
    <row r="160" ht="15.75" hidden="1"/>
    <row r="161" ht="15.75" hidden="1"/>
    <row r="162" ht="15.75" hidden="1"/>
    <row r="163" ht="15.75" hidden="1"/>
    <row r="164" ht="15.75" hidden="1"/>
    <row r="165" ht="15.75" hidden="1"/>
    <row r="166" ht="15.75" hidden="1"/>
    <row r="167" ht="15.75" hidden="1"/>
    <row r="168" ht="15.75" hidden="1"/>
    <row r="169" ht="15.75" hidden="1"/>
    <row r="170" ht="15.75" hidden="1"/>
    <row r="171" ht="15.75" hidden="1"/>
    <row r="172" ht="15.75" hidden="1"/>
    <row r="173" ht="15.75" hidden="1"/>
    <row r="174" ht="15.75" hidden="1"/>
    <row r="175" ht="15.75" hidden="1"/>
    <row r="176" ht="15.75" hidden="1"/>
    <row r="177" ht="15.75" hidden="1"/>
    <row r="178" ht="15.75" hidden="1"/>
    <row r="179" ht="15.75" hidden="1"/>
    <row r="180" ht="15.75" hidden="1"/>
    <row r="181" ht="15.75" hidden="1"/>
    <row r="182" ht="15.75" hidden="1"/>
    <row r="183" ht="15.75" hidden="1"/>
    <row r="184" ht="15.75" hidden="1"/>
    <row r="185" ht="15.75" hidden="1"/>
    <row r="186" ht="15.75" hidden="1"/>
    <row r="187" ht="15.75" hidden="1"/>
    <row r="188" ht="15.75" hidden="1"/>
    <row r="189" ht="15.75" hidden="1"/>
    <row r="190" ht="15.75" hidden="1"/>
    <row r="191" ht="15.75" hidden="1"/>
    <row r="192" ht="15.75" hidden="1"/>
    <row r="193" ht="15.75" hidden="1"/>
    <row r="194" ht="15.75" hidden="1"/>
    <row r="195" ht="15.75" hidden="1"/>
    <row r="196" ht="15.75" hidden="1"/>
    <row r="197" ht="15.75" hidden="1"/>
    <row r="198" ht="15.75" hidden="1"/>
    <row r="199" ht="15.75" hidden="1"/>
    <row r="200" ht="15.75" hidden="1"/>
    <row r="201" ht="15.75" hidden="1"/>
    <row r="202" ht="15.75" hidden="1"/>
    <row r="203" ht="15.75" hidden="1"/>
    <row r="204" ht="15.75" hidden="1"/>
    <row r="205" ht="15.75" hidden="1"/>
    <row r="206" ht="15.75" hidden="1"/>
    <row r="207" ht="15.75" hidden="1"/>
    <row r="208" ht="15.75" hidden="1"/>
    <row r="209" ht="15.75" hidden="1"/>
    <row r="210" ht="15.75" hidden="1"/>
    <row r="211" ht="15.75" hidden="1"/>
    <row r="212" ht="15.75" hidden="1"/>
    <row r="213" ht="15.75" hidden="1"/>
    <row r="214" ht="15.75" hidden="1"/>
    <row r="215" ht="15.75" hidden="1"/>
    <row r="216" ht="15.75" hidden="1"/>
    <row r="217" ht="15.75" hidden="1"/>
    <row r="218" ht="15.75" hidden="1"/>
    <row r="219" ht="15.75" hidden="1"/>
    <row r="220" ht="15.75" hidden="1"/>
    <row r="221" ht="15.75" hidden="1"/>
    <row r="222" ht="15.75" hidden="1"/>
    <row r="223" ht="15.75" hidden="1"/>
    <row r="224" ht="15.75" hidden="1"/>
    <row r="225" ht="15.75" hidden="1"/>
    <row r="226" ht="15.75" hidden="1"/>
    <row r="227" ht="15.75" hidden="1"/>
    <row r="228" ht="15.75" hidden="1"/>
    <row r="229" ht="15.75" hidden="1"/>
    <row r="230" ht="15.75" hidden="1"/>
    <row r="231" ht="15.75" hidden="1"/>
    <row r="232" ht="15.75" hidden="1"/>
    <row r="233" ht="15.75" hidden="1"/>
    <row r="234" ht="15.75" hidden="1"/>
    <row r="235" ht="15.75" hidden="1"/>
    <row r="236" ht="15.75" hidden="1"/>
    <row r="237" ht="15.75" hidden="1"/>
    <row r="238" ht="15.75" hidden="1"/>
    <row r="239" ht="15.75" hidden="1"/>
    <row r="240" ht="15.75" hidden="1"/>
    <row r="241" ht="15.75" hidden="1"/>
    <row r="242" ht="15.75" hidden="1"/>
    <row r="243" ht="15.75" hidden="1"/>
    <row r="244" ht="15.75" hidden="1"/>
    <row r="245" ht="15.75" hidden="1"/>
    <row r="246" ht="15.75" hidden="1"/>
    <row r="247" ht="15.75" hidden="1"/>
    <row r="248" ht="15.75" hidden="1"/>
    <row r="249" ht="15.75" hidden="1"/>
    <row r="250" ht="15.75" hidden="1"/>
    <row r="251" ht="15.75" hidden="1"/>
    <row r="252" ht="15.75" hidden="1"/>
    <row r="253" ht="15.75" hidden="1"/>
    <row r="254" ht="15.75" hidden="1"/>
    <row r="255" ht="15.75" hidden="1"/>
    <row r="256" ht="15.75" hidden="1"/>
    <row r="257" ht="15.75" hidden="1"/>
    <row r="258" ht="15.75" hidden="1"/>
    <row r="259" ht="15.75" hidden="1"/>
    <row r="260" ht="15.75" hidden="1"/>
    <row r="261" ht="15.75" hidden="1"/>
    <row r="262" ht="15.75" hidden="1"/>
    <row r="263" ht="15.75" hidden="1"/>
    <row r="264" ht="15.75" hidden="1"/>
    <row r="265" ht="15.75" hidden="1"/>
    <row r="266" ht="15.75" hidden="1"/>
    <row r="267" ht="15.75" hidden="1"/>
    <row r="268" ht="15.75" hidden="1"/>
    <row r="269" ht="15.75" hidden="1"/>
    <row r="270" ht="15.75" hidden="1"/>
    <row r="271" ht="15.75" hidden="1"/>
    <row r="272" ht="15.75" hidden="1"/>
    <row r="273" ht="15.75" hidden="1"/>
    <row r="274" ht="15.75" hidden="1"/>
    <row r="275" ht="15.75" hidden="1"/>
    <row r="276" ht="15.75" hidden="1"/>
    <row r="277" ht="15.75" hidden="1"/>
    <row r="278" ht="15.75" hidden="1"/>
    <row r="279" ht="15.75" hidden="1"/>
    <row r="280" ht="15.75" hidden="1"/>
    <row r="281" ht="15.75" hidden="1"/>
    <row r="282" ht="15.75" hidden="1"/>
    <row r="283" ht="15.75" hidden="1"/>
    <row r="284" ht="15.75" hidden="1"/>
    <row r="285" ht="15.75" hidden="1"/>
    <row r="286" ht="15.75" hidden="1"/>
    <row r="287" ht="15.75" hidden="1"/>
    <row r="288" ht="15.75" hidden="1"/>
    <row r="289" ht="15.75" hidden="1"/>
    <row r="290" ht="15.75" hidden="1"/>
    <row r="291" ht="15.75" hidden="1"/>
    <row r="292" ht="15.75" hidden="1"/>
    <row r="293" ht="15.75" hidden="1"/>
    <row r="294" ht="15.75" hidden="1"/>
    <row r="295" ht="15.75" hidden="1"/>
    <row r="296" ht="15.75" hidden="1"/>
    <row r="297" ht="15.75" hidden="1"/>
    <row r="298" ht="15.75" hidden="1"/>
    <row r="299" ht="15.75" hidden="1"/>
    <row r="300" ht="15.75" hidden="1"/>
    <row r="301" ht="15.75" hidden="1"/>
    <row r="302" ht="15.75" hidden="1"/>
    <row r="303" ht="15.75" hidden="1"/>
    <row r="304" ht="15.75" hidden="1"/>
    <row r="305" ht="15.75" hidden="1"/>
    <row r="306" ht="15.75" hidden="1"/>
    <row r="307" ht="15.75" hidden="1"/>
    <row r="308" ht="15.75" hidden="1"/>
    <row r="309" ht="15.75" hidden="1"/>
    <row r="310" ht="15.75" hidden="1"/>
    <row r="311" ht="15.75" hidden="1"/>
    <row r="312" ht="15.75" hidden="1"/>
    <row r="313" ht="15.75" hidden="1"/>
    <row r="314" ht="15.75" hidden="1"/>
    <row r="315" ht="15.75" hidden="1"/>
    <row r="316" ht="15.75" hidden="1"/>
    <row r="317" ht="15.75" hidden="1"/>
    <row r="318" ht="15.75" hidden="1"/>
    <row r="319" ht="15.75" hidden="1"/>
    <row r="320" ht="15.75" hidden="1"/>
    <row r="321" ht="15.75" hidden="1"/>
    <row r="322" ht="15.75" hidden="1"/>
    <row r="323" ht="15.75" hidden="1"/>
    <row r="324" ht="15.75" hidden="1"/>
    <row r="325" ht="15.75" hidden="1"/>
    <row r="326" ht="15.75" hidden="1"/>
    <row r="327" ht="15.75" hidden="1"/>
    <row r="328" ht="15.75" hidden="1"/>
    <row r="329" ht="15.75" hidden="1"/>
    <row r="330" ht="15.75" hidden="1"/>
    <row r="331" ht="15.75" hidden="1"/>
    <row r="332" ht="15.75" hidden="1"/>
    <row r="333" ht="15.75" hidden="1"/>
    <row r="334" ht="15.75" hidden="1"/>
    <row r="335" ht="15.75" hidden="1"/>
    <row r="336" ht="15.75" hidden="1"/>
    <row r="337" ht="15.75" hidden="1"/>
    <row r="338" ht="15.75" hidden="1"/>
    <row r="339" ht="15.75" hidden="1"/>
    <row r="340" ht="15.75" hidden="1"/>
    <row r="341" ht="15.75" hidden="1"/>
    <row r="342" ht="15.75" hidden="1"/>
    <row r="343" ht="15.75" hidden="1"/>
    <row r="344" ht="15.75" hidden="1"/>
    <row r="345" ht="15.75" hidden="1"/>
    <row r="346" ht="15.75" hidden="1"/>
    <row r="347" ht="15.75" hidden="1"/>
    <row r="348" ht="15.75" hidden="1"/>
    <row r="349" ht="15.75" hidden="1"/>
    <row r="350" ht="15.75" hidden="1"/>
    <row r="351" ht="15.75" hidden="1"/>
    <row r="352" ht="15.75" hidden="1"/>
    <row r="353" ht="15.75" hidden="1"/>
    <row r="354" ht="15.75" hidden="1"/>
    <row r="355" ht="15.75" hidden="1"/>
    <row r="356" ht="15.75" hidden="1"/>
    <row r="357" ht="15.75" hidden="1"/>
    <row r="358" ht="15.75" hidden="1"/>
    <row r="359" ht="15.75" hidden="1"/>
    <row r="360" ht="15.75" hidden="1"/>
    <row r="361" ht="15.75" hidden="1"/>
    <row r="362" ht="15.75" hidden="1"/>
    <row r="363" ht="15.75" hidden="1"/>
    <row r="364" ht="15.75" hidden="1"/>
    <row r="365" ht="15.75" hidden="1"/>
    <row r="366" ht="15.75" hidden="1"/>
    <row r="367" ht="15.75" hidden="1"/>
    <row r="368" ht="15.75" hidden="1"/>
    <row r="369" ht="15.75" hidden="1"/>
    <row r="370" ht="15.75" hidden="1"/>
    <row r="371" ht="15.75" hidden="1"/>
    <row r="372" ht="15.75" hidden="1"/>
    <row r="373" ht="15.75" hidden="1"/>
    <row r="374" ht="15.75" hidden="1"/>
    <row r="375" ht="15.75" hidden="1"/>
    <row r="376" ht="15.75" hidden="1"/>
    <row r="377" ht="15.75" hidden="1"/>
    <row r="378" ht="15.75" hidden="1"/>
    <row r="379" ht="15.75" hidden="1"/>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hidden="1"/>
    <row r="392" ht="15.75" hidden="1"/>
    <row r="393" ht="15.75" hidden="1"/>
    <row r="394" ht="15.75" hidden="1"/>
    <row r="395" ht="15.75" hidden="1"/>
    <row r="396" ht="15.75" hidden="1"/>
    <row r="397" ht="15.75" hidden="1"/>
    <row r="398" ht="15.75" hidden="1"/>
    <row r="399" ht="15.75" hidden="1"/>
    <row r="400" ht="15.75" hidden="1"/>
    <row r="401" ht="15.75" hidden="1"/>
    <row r="402" ht="15.75" hidden="1"/>
    <row r="403" ht="15.75" hidden="1"/>
    <row r="404" ht="15.75" hidden="1"/>
    <row r="405" ht="15.75" hidden="1"/>
    <row r="406" ht="15.75" hidden="1"/>
    <row r="407" ht="15.75" hidden="1"/>
    <row r="408" ht="15.75" hidden="1"/>
    <row r="409" ht="15.75" hidden="1"/>
    <row r="410" ht="15.75" hidden="1"/>
    <row r="411" ht="15.75" hidden="1"/>
    <row r="412" ht="15.75" hidden="1"/>
    <row r="413" ht="15.75" hidden="1"/>
    <row r="414" ht="15.75" hidden="1"/>
    <row r="415" ht="15.75" hidden="1"/>
    <row r="416" ht="15.75" hidden="1"/>
    <row r="417" ht="15.75" hidden="1"/>
    <row r="418" ht="15.75" hidden="1"/>
    <row r="419" ht="15.75" hidden="1"/>
    <row r="420" ht="15.75" hidden="1"/>
    <row r="421" ht="15.75" hidden="1"/>
    <row r="422" ht="15.75" hidden="1"/>
    <row r="423" ht="15.75" hidden="1"/>
    <row r="424" ht="15.75" hidden="1"/>
    <row r="425" ht="15.75" hidden="1"/>
    <row r="426" ht="15.75" hidden="1"/>
    <row r="427" ht="15.75" hidden="1"/>
    <row r="428" ht="15.75" hidden="1"/>
    <row r="429" ht="15.75" hidden="1"/>
    <row r="430" ht="15.75" hidden="1"/>
    <row r="431" ht="15.75" hidden="1"/>
    <row r="432" ht="15.75" hidden="1"/>
    <row r="433" ht="15.75" hidden="1"/>
    <row r="434" ht="15.75" hidden="1"/>
    <row r="435" ht="15.75" hidden="1"/>
    <row r="436" ht="15.75" hidden="1"/>
    <row r="437" ht="15.75" hidden="1"/>
    <row r="438" ht="15.75" hidden="1"/>
    <row r="439" ht="15.75" hidden="1"/>
    <row r="440" ht="15.75" hidden="1"/>
    <row r="441" ht="15.75" hidden="1"/>
    <row r="442" ht="15.75" hidden="1"/>
    <row r="443" ht="15.75" hidden="1"/>
    <row r="444" ht="15.75" hidden="1"/>
    <row r="445" ht="15.75" hidden="1"/>
    <row r="446" ht="15.75" hidden="1"/>
    <row r="447" ht="15.75" hidden="1"/>
    <row r="448" ht="15.75" hidden="1"/>
    <row r="449" ht="15.75" hidden="1"/>
    <row r="450" ht="15.75" hidden="1"/>
    <row r="451" ht="15.75" hidden="1"/>
    <row r="452" ht="15.75" hidden="1"/>
    <row r="453" ht="15.75" hidden="1"/>
    <row r="454" ht="15.75" hidden="1"/>
    <row r="455" ht="15.75" hidden="1"/>
    <row r="456" ht="15.75" hidden="1"/>
    <row r="457" ht="15.75" hidden="1"/>
    <row r="458" ht="15.75" hidden="1"/>
    <row r="459" ht="15.75" hidden="1"/>
    <row r="460" ht="15.75" hidden="1"/>
    <row r="461" ht="15.75" hidden="1"/>
    <row r="462" ht="15.75" hidden="1"/>
    <row r="463" ht="15.75" hidden="1"/>
    <row r="464" ht="15.75" hidden="1"/>
    <row r="465" ht="15.75" hidden="1"/>
    <row r="466" ht="15.75" hidden="1"/>
    <row r="467" ht="15.75" hidden="1"/>
    <row r="468" ht="15.75" hidden="1"/>
    <row r="469" ht="15.75" hidden="1"/>
    <row r="470" ht="15.75" hidden="1"/>
    <row r="471" ht="15.75" hidden="1"/>
    <row r="472" ht="15.75" hidden="1"/>
    <row r="473" ht="15.75" hidden="1"/>
    <row r="474" ht="15.75" hidden="1"/>
    <row r="475" ht="15.75" hidden="1"/>
    <row r="476" ht="15.75" hidden="1"/>
    <row r="477" ht="15.75" hidden="1"/>
    <row r="478" ht="15.75" hidden="1"/>
    <row r="479" ht="15.75" hidden="1"/>
    <row r="480" ht="15.75" hidden="1"/>
    <row r="481" ht="15.75" hidden="1"/>
    <row r="482" ht="15.75" hidden="1"/>
    <row r="483" ht="15.75" hidden="1"/>
    <row r="484" ht="15.75" hidden="1"/>
    <row r="485" ht="15.75" hidden="1"/>
    <row r="486" ht="15.75" hidden="1"/>
    <row r="487" ht="15.75" hidden="1"/>
    <row r="488" ht="15.75" hidden="1"/>
    <row r="489" ht="15.75" hidden="1"/>
    <row r="490" ht="15.75" hidden="1"/>
    <row r="491" ht="15.75" hidden="1"/>
    <row r="492" ht="15.75" hidden="1"/>
    <row r="493" ht="15.75" hidden="1"/>
    <row r="494" ht="15.75" hidden="1"/>
    <row r="495" ht="15.75" hidden="1"/>
    <row r="496" ht="15.75" hidden="1"/>
    <row r="497" ht="15.75" hidden="1"/>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row r="628" ht="15.75" hidden="1"/>
    <row r="629" ht="15.75" hidden="1"/>
    <row r="630" ht="15.75" hidden="1"/>
    <row r="631" ht="15.75" hidden="1"/>
    <row r="632" ht="15.75" hidden="1"/>
    <row r="633" ht="15.75" hidden="1"/>
    <row r="634" ht="15.75" hidden="1"/>
    <row r="635" ht="15.75" hidden="1"/>
    <row r="636" ht="15.75" hidden="1"/>
    <row r="637" ht="15.75" hidden="1"/>
    <row r="638" ht="15.75" hidden="1"/>
    <row r="639" ht="15.75" hidden="1"/>
    <row r="640" ht="15.75" hidden="1"/>
    <row r="641" ht="15.75" hidden="1"/>
    <row r="642" ht="15.75" hidden="1"/>
    <row r="643" ht="15.75" hidden="1"/>
    <row r="644" ht="15.75" hidden="1"/>
    <row r="645" ht="15.75" hidden="1"/>
    <row r="646" ht="15.75" hidden="1"/>
    <row r="647" ht="15.75" hidden="1"/>
    <row r="648" ht="15.75" hidden="1"/>
    <row r="649" ht="15.75" hidden="1"/>
    <row r="650" ht="15.75" hidden="1"/>
    <row r="651" ht="15.75" hidden="1"/>
    <row r="652" ht="15.75" hidden="1"/>
    <row r="653" ht="15.75" hidden="1"/>
    <row r="654" ht="15.75" hidden="1"/>
    <row r="655" ht="15.75" hidden="1"/>
    <row r="656" ht="15.75" hidden="1"/>
    <row r="657" ht="15.75" hidden="1"/>
    <row r="658" ht="15.75" hidden="1"/>
    <row r="659" ht="15.75" hidden="1"/>
    <row r="660" ht="15.75" hidden="1"/>
    <row r="661" ht="15.75" hidden="1"/>
    <row r="662" ht="15.75" hidden="1"/>
    <row r="663" ht="15.75" hidden="1"/>
    <row r="664" ht="15.75" hidden="1"/>
    <row r="665" ht="15.75" hidden="1"/>
    <row r="666" ht="15.75" hidden="1"/>
    <row r="667" ht="15.75" hidden="1"/>
    <row r="668" ht="15.75" hidden="1"/>
    <row r="669" ht="15.75" hidden="1"/>
    <row r="670" ht="15.75" hidden="1"/>
    <row r="671" ht="15.75" hidden="1"/>
    <row r="672" ht="15.75" hidden="1"/>
    <row r="673" ht="15.75" hidden="1"/>
    <row r="674" ht="15.75" hidden="1"/>
    <row r="675" ht="15.75" hidden="1"/>
    <row r="676" ht="15.75" hidden="1"/>
    <row r="677" ht="15.75" hidden="1"/>
    <row r="678" ht="15.75" hidden="1"/>
    <row r="679" ht="15.75" hidden="1"/>
    <row r="680" ht="15.75" hidden="1"/>
    <row r="681" ht="15.75" hidden="1"/>
    <row r="682" ht="15.75" hidden="1"/>
    <row r="683" ht="15.75" hidden="1"/>
    <row r="684" ht="15.75" hidden="1"/>
    <row r="685" ht="15.75" hidden="1"/>
    <row r="686" ht="15.75" hidden="1"/>
    <row r="687" ht="15.75" hidden="1"/>
    <row r="688" ht="15.75" hidden="1"/>
    <row r="689" ht="15.75" hidden="1"/>
    <row r="690" ht="15.75" hidden="1"/>
    <row r="691" ht="15.75" hidden="1"/>
    <row r="692" ht="15.75" hidden="1"/>
    <row r="693" ht="15.75" hidden="1"/>
    <row r="694" ht="15.75" hidden="1"/>
    <row r="695" ht="15.75" hidden="1"/>
    <row r="696" ht="15.75" hidden="1"/>
    <row r="697" ht="15.75" hidden="1"/>
    <row r="698" ht="15.75" hidden="1"/>
    <row r="699" ht="15.75" hidden="1"/>
    <row r="700" ht="15.75" hidden="1"/>
    <row r="701" ht="15.75" hidden="1"/>
    <row r="702" ht="15.75" hidden="1"/>
    <row r="703" ht="15.75" hidden="1"/>
    <row r="704" ht="15.75" hidden="1"/>
    <row r="705" ht="15.75" hidden="1"/>
    <row r="706" ht="15.75" hidden="1"/>
    <row r="707" ht="15.75" hidden="1"/>
    <row r="708" ht="15.75" hidden="1"/>
    <row r="709" ht="15.75" hidden="1"/>
    <row r="710" ht="15.75" hidden="1"/>
    <row r="711" ht="15.75" hidden="1"/>
    <row r="712" ht="15.75" hidden="1"/>
    <row r="713" ht="15.75" hidden="1"/>
    <row r="714" ht="15.75" hidden="1"/>
    <row r="715" ht="15.75" hidden="1"/>
    <row r="716" ht="15.75" hidden="1"/>
    <row r="717" ht="15.75" hidden="1"/>
    <row r="718" ht="15.75" hidden="1"/>
    <row r="719" ht="15.75" hidden="1"/>
    <row r="720" ht="15.75" hidden="1"/>
    <row r="721" ht="15.75" hidden="1"/>
    <row r="722" ht="15.75" hidden="1"/>
    <row r="723" ht="15.75" hidden="1"/>
    <row r="724" ht="15.75" hidden="1"/>
    <row r="725" ht="15.75" hidden="1"/>
    <row r="726" ht="15.75" hidden="1"/>
    <row r="727" ht="15.75" hidden="1"/>
    <row r="728" ht="15.75" hidden="1"/>
    <row r="729" ht="15.75" hidden="1"/>
    <row r="730" ht="15.75" hidden="1"/>
    <row r="731" ht="15.75" hidden="1"/>
    <row r="732" ht="15.75" hidden="1"/>
    <row r="733" ht="15.75" hidden="1"/>
    <row r="734" ht="15.75" hidden="1"/>
    <row r="735" ht="15.75" hidden="1"/>
    <row r="736" ht="15.75" hidden="1"/>
    <row r="737" ht="15.75" hidden="1"/>
    <row r="738" ht="15.75" hidden="1"/>
    <row r="739" ht="15.75" hidden="1"/>
    <row r="740" ht="15.75" hidden="1"/>
    <row r="741" ht="15.75" hidden="1"/>
    <row r="742" ht="15.75" hidden="1"/>
    <row r="743" ht="15.75" hidden="1"/>
    <row r="744" ht="15.75" hidden="1"/>
    <row r="745" ht="15.75" hidden="1"/>
    <row r="746" ht="15.75" hidden="1"/>
    <row r="747" ht="15.75" hidden="1"/>
    <row r="748" ht="15.75" hidden="1"/>
    <row r="749" ht="15.75" hidden="1"/>
    <row r="750" ht="15.75" hidden="1"/>
    <row r="751" ht="15.75" hidden="1"/>
    <row r="752" ht="15.75" hidden="1"/>
    <row r="753" ht="15.75" hidden="1"/>
    <row r="754" ht="15.75" hidden="1"/>
    <row r="755" ht="15.75" hidden="1"/>
    <row r="756" ht="15.75" hidden="1"/>
    <row r="757" ht="15.75" hidden="1"/>
    <row r="758" ht="15.75" hidden="1"/>
    <row r="759" ht="15.75" hidden="1"/>
    <row r="760" ht="15.75" hidden="1"/>
    <row r="761" ht="15.75" hidden="1"/>
    <row r="762" ht="15.75" hidden="1"/>
    <row r="763" ht="15.75" hidden="1"/>
    <row r="764" ht="15.75" hidden="1"/>
    <row r="765" ht="15.75" hidden="1"/>
    <row r="766" ht="15.75" hidden="1"/>
    <row r="767" ht="15.75" hidden="1"/>
    <row r="768" ht="15.75" hidden="1"/>
    <row r="769" ht="15.75" hidden="1"/>
    <row r="770" ht="15.75" hidden="1"/>
    <row r="771" ht="15.75" hidden="1"/>
    <row r="772" ht="15.75" hidden="1"/>
    <row r="773" ht="15.75" hidden="1"/>
    <row r="774" ht="15.75" hidden="1"/>
    <row r="775" ht="15.75" hidden="1"/>
    <row r="776" ht="15.75" hidden="1"/>
    <row r="777" ht="15.75" hidden="1"/>
    <row r="778" ht="15.75" hidden="1"/>
    <row r="779" ht="15.75" hidden="1"/>
    <row r="780" ht="15.75" hidden="1"/>
    <row r="781" ht="15.75" hidden="1"/>
    <row r="782" ht="15.75" hidden="1"/>
    <row r="783" ht="15.75" hidden="1"/>
    <row r="784" ht="15.75" hidden="1"/>
    <row r="785" ht="15.75" hidden="1"/>
    <row r="786" ht="15.75" hidden="1"/>
    <row r="787" ht="15.75" hidden="1"/>
    <row r="788" ht="15.75" hidden="1"/>
    <row r="789" ht="15.75" hidden="1"/>
    <row r="790" ht="15.75" hidden="1"/>
    <row r="791" ht="15.75" hidden="1"/>
    <row r="792" ht="15.75" hidden="1"/>
    <row r="793" ht="15.75" hidden="1"/>
    <row r="794" ht="15.75" hidden="1"/>
    <row r="795" ht="15.75" hidden="1"/>
    <row r="796" ht="15.75" hidden="1"/>
    <row r="797" ht="15.75" hidden="1"/>
    <row r="798" ht="15.75" hidden="1"/>
    <row r="799" ht="15.75" hidden="1"/>
    <row r="800" ht="15.75" hidden="1"/>
    <row r="801" ht="15.75" hidden="1"/>
    <row r="802" ht="15.75" hidden="1"/>
    <row r="803" ht="15.75" hidden="1"/>
    <row r="804" ht="15.75" hidden="1"/>
    <row r="805" ht="15.75" hidden="1"/>
    <row r="806" ht="15.75" hidden="1"/>
    <row r="807" ht="15.75" hidden="1"/>
    <row r="808" ht="15.75" hidden="1"/>
    <row r="809" ht="15.75" hidden="1"/>
    <row r="810" ht="15.75" hidden="1"/>
    <row r="811" ht="15.75" hidden="1"/>
    <row r="812" ht="15.75" hidden="1"/>
    <row r="813" ht="15.75" hidden="1"/>
    <row r="814" ht="15.75" hidden="1"/>
    <row r="815" ht="15.75" hidden="1"/>
    <row r="816" ht="15.75" hidden="1"/>
    <row r="817" ht="15.75" hidden="1"/>
    <row r="818" ht="15.75" hidden="1"/>
    <row r="819" ht="15.75" hidden="1"/>
    <row r="820" ht="15.75" hidden="1"/>
    <row r="821" ht="15.75" hidden="1"/>
    <row r="822" ht="15.75" hidden="1"/>
    <row r="823" ht="15.75" hidden="1"/>
    <row r="824" ht="15.75" hidden="1"/>
    <row r="825" ht="15.75" hidden="1"/>
    <row r="826" ht="15.75" hidden="1"/>
    <row r="827" ht="15.75" hidden="1"/>
    <row r="828" ht="15.75" hidden="1"/>
    <row r="829" ht="15.75" hidden="1"/>
    <row r="830" ht="15.75" hidden="1"/>
    <row r="831" ht="15.75" hidden="1"/>
    <row r="832" ht="15.75" hidden="1"/>
    <row r="833" ht="15.75" hidden="1"/>
    <row r="834" ht="15.75" hidden="1"/>
    <row r="835" ht="15.75" hidden="1"/>
    <row r="836" ht="15.75" hidden="1"/>
    <row r="837" ht="15.75" hidden="1"/>
    <row r="838" ht="15.75" hidden="1"/>
    <row r="839" ht="15.75" hidden="1"/>
    <row r="840" ht="15.75" hidden="1"/>
    <row r="841" ht="15.75" hidden="1"/>
    <row r="842" ht="15.75" hidden="1"/>
    <row r="843" ht="15.75" hidden="1"/>
    <row r="844" ht="15.75" hidden="1"/>
    <row r="845" ht="15.75" hidden="1"/>
    <row r="846" ht="15.75" hidden="1"/>
    <row r="847" ht="15.75" hidden="1"/>
    <row r="848" ht="15.75" hidden="1"/>
    <row r="849" ht="15.75" hidden="1"/>
    <row r="850" ht="15.75" hidden="1"/>
    <row r="851" ht="15.75" hidden="1"/>
    <row r="852" ht="15.75" hidden="1"/>
    <row r="853" ht="15.75" hidden="1"/>
    <row r="854" ht="15.75" hidden="1"/>
    <row r="855" ht="15.75" hidden="1"/>
    <row r="856" ht="15.75" hidden="1"/>
    <row r="857" ht="15.75" hidden="1"/>
    <row r="858" ht="15.75" hidden="1"/>
    <row r="859" ht="15.75" hidden="1"/>
    <row r="860" ht="15.75" hidden="1"/>
    <row r="861" ht="15.75" hidden="1"/>
    <row r="862" ht="15.75" hidden="1"/>
    <row r="863" ht="15.75" hidden="1"/>
    <row r="864" ht="15.75" hidden="1"/>
    <row r="865" ht="15.75" hidden="1"/>
    <row r="866" ht="15.75" hidden="1"/>
    <row r="867" ht="15.75" hidden="1"/>
    <row r="868" ht="15.75" hidden="1"/>
    <row r="869" ht="15.75" hidden="1"/>
    <row r="870" ht="15.75" hidden="1"/>
    <row r="871" ht="15.75" hidden="1"/>
    <row r="872" ht="15.75" hidden="1"/>
    <row r="873" ht="15.75" hidden="1"/>
    <row r="874" ht="15.75" hidden="1"/>
    <row r="875" ht="15.75" hidden="1"/>
    <row r="876" ht="15.75" hidden="1"/>
    <row r="877" ht="15.75" hidden="1"/>
    <row r="878" ht="15.75" hidden="1"/>
    <row r="879" ht="15.75" hidden="1"/>
    <row r="880" ht="15.75" hidden="1"/>
    <row r="881" ht="15.75" hidden="1"/>
    <row r="882" ht="15.75" hidden="1"/>
    <row r="883" ht="15.75" hidden="1"/>
    <row r="884" ht="15.75" hidden="1"/>
    <row r="885" ht="15.75" hidden="1"/>
    <row r="886" ht="15.75" hidden="1"/>
    <row r="887" ht="15.75" hidden="1"/>
    <row r="888" ht="15.75" hidden="1"/>
    <row r="889" ht="15.75" hidden="1"/>
    <row r="890" ht="15.75" hidden="1"/>
    <row r="891" ht="15.75" hidden="1"/>
    <row r="892" ht="15.75" hidden="1"/>
    <row r="893" ht="15.75" hidden="1"/>
    <row r="894" ht="15.75" hidden="1"/>
    <row r="895" ht="15.75" hidden="1"/>
    <row r="896" ht="15.75" hidden="1"/>
    <row r="897" ht="15.75" hidden="1"/>
    <row r="898" ht="15.75" hidden="1"/>
    <row r="899" ht="15.75" hidden="1"/>
    <row r="900" ht="15.75" hidden="1"/>
    <row r="901" ht="15.75" hidden="1"/>
    <row r="902" ht="15.75" hidden="1"/>
    <row r="903" ht="15.75" hidden="1"/>
    <row r="904" ht="15.75" hidden="1"/>
    <row r="905" ht="15.75" hidden="1"/>
    <row r="906" ht="15.75" hidden="1"/>
    <row r="907" ht="15.75" hidden="1"/>
    <row r="908" ht="15.75" hidden="1"/>
    <row r="909" ht="15.75" hidden="1"/>
    <row r="910" ht="15.75" hidden="1"/>
    <row r="911" ht="15.75" hidden="1"/>
    <row r="912" ht="15.75" hidden="1"/>
    <row r="913" ht="15.75" hidden="1"/>
    <row r="914" ht="15.75" hidden="1"/>
    <row r="915" ht="15.75" hidden="1"/>
    <row r="916" ht="15.75" hidden="1"/>
    <row r="917" ht="15.75" hidden="1"/>
    <row r="918" ht="15.75" hidden="1"/>
    <row r="919" ht="15.75" hidden="1"/>
    <row r="920" ht="15.75" hidden="1"/>
    <row r="921" ht="15.75" hidden="1"/>
    <row r="922" ht="15.75" hidden="1"/>
    <row r="923" ht="15.75" hidden="1"/>
    <row r="924" ht="15.75" hidden="1"/>
    <row r="925" ht="15.75" hidden="1"/>
    <row r="926" ht="15.75" hidden="1"/>
    <row r="927" ht="15.75" hidden="1"/>
    <row r="928" ht="15.75" hidden="1"/>
    <row r="929" ht="15.75" hidden="1"/>
    <row r="930" ht="15.75" hidden="1"/>
    <row r="931" ht="15.75" hidden="1"/>
    <row r="932" ht="15.75" hidden="1"/>
    <row r="933" ht="15.75" hidden="1"/>
    <row r="934" ht="15.75" hidden="1"/>
    <row r="935" ht="15.75" hidden="1"/>
    <row r="936" ht="15.75" hidden="1"/>
    <row r="937" ht="15.75" hidden="1"/>
    <row r="938" ht="15.75" hidden="1"/>
    <row r="939" ht="15.75" hidden="1"/>
    <row r="940" ht="15.75" hidden="1"/>
    <row r="941" ht="15.75" hidden="1"/>
    <row r="942" ht="15.75" hidden="1"/>
    <row r="943" ht="15.75" hidden="1"/>
    <row r="944" ht="15.75" hidden="1"/>
    <row r="945" ht="15.75" hidden="1"/>
    <row r="946" ht="15.75" hidden="1"/>
    <row r="947" ht="15.75" hidden="1"/>
    <row r="948" ht="15.75" hidden="1"/>
    <row r="949" ht="15.75" hidden="1"/>
    <row r="950" ht="15.75" hidden="1"/>
    <row r="951" ht="15.75" hidden="1"/>
    <row r="952" ht="15.75" hidden="1"/>
    <row r="953" ht="15.75" hidden="1"/>
    <row r="954" ht="15.75" hidden="1"/>
    <row r="955" ht="15.75" hidden="1"/>
    <row r="956" ht="15.75" hidden="1"/>
    <row r="957" ht="15.75" hidden="1"/>
    <row r="958" ht="15.75" hidden="1"/>
    <row r="959" ht="15.75" hidden="1"/>
    <row r="960" ht="15.75" hidden="1"/>
    <row r="961" ht="15.75" hidden="1"/>
    <row r="962" ht="15.75" hidden="1"/>
    <row r="963" ht="15.75" hidden="1"/>
    <row r="964" ht="15.75" hidden="1"/>
    <row r="965" ht="15.75" hidden="1"/>
    <row r="966" ht="15.75" hidden="1"/>
    <row r="967" ht="15.75" hidden="1"/>
    <row r="968" ht="15.75" hidden="1"/>
    <row r="969" ht="15.75" hidden="1"/>
    <row r="970" ht="15.75" hidden="1"/>
    <row r="971" ht="15.75" hidden="1"/>
    <row r="972" ht="15.75" hidden="1"/>
    <row r="973" ht="15.75" hidden="1"/>
    <row r="974" ht="15.75" hidden="1"/>
    <row r="975" ht="15.75" hidden="1"/>
    <row r="976" ht="15.75" hidden="1"/>
    <row r="977" ht="15.75" hidden="1"/>
    <row r="978" ht="15.75" hidden="1"/>
    <row r="979" ht="15.75" hidden="1"/>
    <row r="980" ht="15.75" hidden="1"/>
    <row r="981" ht="15.75" hidden="1"/>
    <row r="982" ht="15.75" hidden="1"/>
    <row r="983" ht="15.75" hidden="1"/>
    <row r="984" ht="15.75" hidden="1"/>
    <row r="985" ht="15.75" hidden="1"/>
    <row r="986" ht="15.75" hidden="1"/>
    <row r="987" ht="15.75" hidden="1"/>
    <row r="988" ht="15.75" hidden="1"/>
    <row r="989" ht="15.75" hidden="1"/>
    <row r="990" ht="15.75" hidden="1"/>
    <row r="991" spans="2:12" ht="31.5" customHeight="1" hidden="1">
      <c r="B991" s="148" t="s">
        <v>120</v>
      </c>
      <c r="C991" s="148"/>
      <c r="D991" s="148"/>
      <c r="E991" s="148"/>
      <c r="F991" s="148"/>
      <c r="G991" s="148"/>
      <c r="H991" s="148"/>
      <c r="I991" s="148"/>
      <c r="J991" s="148"/>
      <c r="K991" s="148"/>
      <c r="L991" s="148"/>
    </row>
  </sheetData>
  <mergeCells count="10">
    <mergeCell ref="B991:L991"/>
    <mergeCell ref="A3:L3"/>
    <mergeCell ref="A4:L4"/>
    <mergeCell ref="A5:L5"/>
    <mergeCell ref="A7:A9"/>
    <mergeCell ref="B7:B9"/>
    <mergeCell ref="C7:L7"/>
    <mergeCell ref="C8:C9"/>
    <mergeCell ref="D8:D9"/>
    <mergeCell ref="E8:L8"/>
  </mergeCells>
  <printOptions/>
  <pageMargins left="0.511811023622047" right="0.590551181102362" top="0.5" bottom="0.984251968503937" header="0.5" footer="0.511811023622047"/>
  <pageSetup horizontalDpi="1200" verticalDpi="12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 tai chinh</dc:creator>
  <cp:keywords/>
  <dc:description/>
  <cp:lastModifiedBy>UBND</cp:lastModifiedBy>
  <cp:lastPrinted>2008-06-19T10:11:00Z</cp:lastPrinted>
  <dcterms:created xsi:type="dcterms:W3CDTF">2007-06-05T03:08:47Z</dcterms:created>
  <dcterms:modified xsi:type="dcterms:W3CDTF">2008-08-04T03:34:35Z</dcterms:modified>
  <cp:category/>
  <cp:version/>
  <cp:contentType/>
  <cp:contentStatus/>
</cp:coreProperties>
</file>